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P:\browsable\Meeting\2020\2020.09.04-latency\"/>
    </mc:Choice>
  </mc:AlternateContent>
  <xr:revisionPtr revIDLastSave="0" documentId="13_ncr:1_{845D0C01-7157-4FBB-B9A5-97DBFB479AAC}" xr6:coauthVersionLast="45" xr6:coauthVersionMax="45" xr10:uidLastSave="{00000000-0000-0000-0000-000000000000}"/>
  <bookViews>
    <workbookView xWindow="-120" yWindow="-120" windowWidth="29040" windowHeight="15840" firstSheet="2" activeTab="2" xr2:uid="{00000000-000D-0000-FFFF-FFFF00000000}"/>
  </bookViews>
  <sheets>
    <sheet name="Export Summary" sheetId="1" r:id="rId1"/>
    <sheet name="Parameters" sheetId="2" r:id="rId2"/>
    <sheet name="L1Calo_Phase_I" sheetId="3" r:id="rId3"/>
    <sheet name="L1Muon_Phase_I" sheetId="4" r:id="rId4"/>
    <sheet name="L1Topo_and_CTP_Phase_I" sheetId="5" r:id="rId5"/>
    <sheet name="Contacts" sheetId="6" r:id="rId6"/>
  </sheets>
  <calcPr calcId="191029" concurrentCalc="0"/>
</workbook>
</file>

<file path=xl/calcChain.xml><?xml version="1.0" encoding="utf-8"?>
<calcChain xmlns="http://schemas.openxmlformats.org/spreadsheetml/2006/main">
  <c r="K7" i="3" l="1"/>
  <c r="K12" i="3"/>
  <c r="L12" i="3"/>
  <c r="K18" i="3"/>
  <c r="D64" i="3"/>
  <c r="E64" i="3"/>
  <c r="J19" i="3"/>
  <c r="K19" i="3"/>
  <c r="L19" i="3"/>
  <c r="E7" i="3"/>
  <c r="F7" i="3"/>
  <c r="D13" i="3"/>
  <c r="D14" i="3"/>
  <c r="E15" i="3"/>
  <c r="F15" i="3"/>
  <c r="F32" i="3"/>
  <c r="E33" i="3"/>
  <c r="E39" i="3"/>
  <c r="E40" i="3"/>
  <c r="F40" i="3"/>
  <c r="L28" i="3"/>
  <c r="J30" i="3"/>
  <c r="J35" i="3"/>
  <c r="J36" i="3"/>
  <c r="Q20" i="3"/>
  <c r="R20" i="3"/>
  <c r="J37" i="3"/>
  <c r="K38" i="3"/>
  <c r="L38" i="3"/>
  <c r="D65" i="3"/>
  <c r="E65" i="3"/>
  <c r="J20" i="3"/>
  <c r="K20" i="3"/>
  <c r="L20" i="3"/>
  <c r="E41" i="3"/>
  <c r="F41" i="3"/>
  <c r="L47" i="3"/>
  <c r="Q21" i="3"/>
  <c r="R21" i="3"/>
  <c r="J55" i="3"/>
  <c r="K56" i="3"/>
  <c r="L56" i="3"/>
  <c r="D66" i="3"/>
  <c r="E66" i="3"/>
  <c r="J21" i="3"/>
  <c r="K21" i="3"/>
  <c r="L21" i="3"/>
  <c r="E42" i="3"/>
  <c r="F42" i="3"/>
  <c r="L61" i="3"/>
  <c r="Q22" i="3"/>
  <c r="R22" i="3"/>
  <c r="J77" i="3"/>
  <c r="K78" i="3"/>
  <c r="L78" i="3"/>
  <c r="R19" i="4"/>
  <c r="R20" i="4"/>
  <c r="R21" i="4"/>
  <c r="S21" i="4"/>
  <c r="R5" i="4"/>
  <c r="R6" i="4"/>
  <c r="Q7" i="4"/>
  <c r="R7" i="4"/>
  <c r="R8" i="4"/>
  <c r="Q9" i="4"/>
  <c r="R9" i="4"/>
  <c r="Q10" i="4"/>
  <c r="R10" i="4"/>
  <c r="Q11" i="4"/>
  <c r="R11" i="4"/>
  <c r="Q12" i="4"/>
  <c r="R12" i="4"/>
  <c r="Q13" i="4"/>
  <c r="R13" i="4"/>
  <c r="Q14" i="4"/>
  <c r="R14" i="4"/>
  <c r="Q15" i="4"/>
  <c r="R15" i="4"/>
  <c r="R16" i="4"/>
  <c r="R17" i="4"/>
  <c r="R18" i="4"/>
  <c r="S18" i="4"/>
  <c r="S23" i="4"/>
  <c r="T23" i="4"/>
  <c r="M38" i="4"/>
  <c r="L45" i="4"/>
  <c r="M47" i="4"/>
  <c r="M51" i="4"/>
  <c r="L56" i="4"/>
  <c r="M56" i="4"/>
  <c r="E21" i="3"/>
  <c r="F19" i="3"/>
  <c r="E26" i="3"/>
  <c r="F26" i="3"/>
  <c r="F54" i="3"/>
  <c r="E4" i="5"/>
  <c r="D6" i="5"/>
  <c r="D10" i="5"/>
  <c r="D11" i="5"/>
  <c r="E11" i="5"/>
  <c r="K54" i="4"/>
  <c r="L54" i="4"/>
  <c r="M54" i="4"/>
  <c r="E26" i="5"/>
  <c r="D28" i="5"/>
  <c r="E28" i="5"/>
  <c r="D15" i="5"/>
  <c r="D16" i="5"/>
  <c r="E16" i="5"/>
  <c r="L59" i="4"/>
  <c r="M59" i="4"/>
  <c r="E23" i="5"/>
  <c r="D25" i="5"/>
  <c r="E25" i="5"/>
  <c r="D28" i="3"/>
  <c r="D30" i="3"/>
  <c r="E30" i="3"/>
  <c r="F30" i="3"/>
  <c r="F33" i="3"/>
  <c r="E43" i="3"/>
  <c r="D50" i="3"/>
  <c r="D52" i="3"/>
  <c r="E52" i="3"/>
  <c r="F52" i="3"/>
  <c r="F55" i="3"/>
  <c r="E20" i="5"/>
  <c r="D22" i="5"/>
  <c r="E22" i="5"/>
  <c r="E29" i="5"/>
  <c r="E31" i="5"/>
  <c r="E36" i="5"/>
  <c r="C40" i="5"/>
  <c r="D40" i="5"/>
  <c r="E40" i="5"/>
  <c r="C39" i="5"/>
  <c r="B38" i="5"/>
  <c r="C38" i="5"/>
  <c r="D38" i="5"/>
  <c r="E38" i="5"/>
  <c r="B37" i="5"/>
  <c r="K36" i="5"/>
  <c r="J36" i="5"/>
  <c r="I36" i="5"/>
  <c r="B30" i="5"/>
  <c r="B27" i="5"/>
  <c r="B24" i="5"/>
  <c r="B21" i="5"/>
  <c r="B15" i="5"/>
  <c r="B14" i="5"/>
  <c r="B13" i="5"/>
  <c r="B12" i="5"/>
  <c r="B10" i="5"/>
  <c r="B9" i="5"/>
  <c r="B8" i="5"/>
  <c r="B6" i="5"/>
  <c r="B5" i="5"/>
  <c r="J59" i="4"/>
  <c r="J58" i="4"/>
  <c r="J57" i="4"/>
  <c r="J56" i="4"/>
  <c r="J55" i="4"/>
  <c r="J54" i="4"/>
  <c r="J53" i="4"/>
  <c r="J52" i="4"/>
  <c r="L46" i="4"/>
  <c r="J45" i="4"/>
  <c r="J44" i="4"/>
  <c r="J43" i="4"/>
  <c r="J42" i="4"/>
  <c r="J41" i="4"/>
  <c r="J40" i="4"/>
  <c r="J39" i="4"/>
  <c r="L16" i="4"/>
  <c r="L21" i="4"/>
  <c r="M22" i="4"/>
  <c r="L27" i="4"/>
  <c r="M28" i="4"/>
  <c r="M35" i="4"/>
  <c r="M37" i="4"/>
  <c r="J37" i="4"/>
  <c r="J36" i="4"/>
  <c r="C18" i="4"/>
  <c r="F18" i="4"/>
  <c r="F22" i="4"/>
  <c r="D23" i="4"/>
  <c r="D24" i="4"/>
  <c r="D25" i="4"/>
  <c r="D26" i="4"/>
  <c r="D27" i="4"/>
  <c r="D28" i="4"/>
  <c r="E28" i="4"/>
  <c r="F29" i="4"/>
  <c r="J27" i="4"/>
  <c r="J26" i="4"/>
  <c r="J25" i="4"/>
  <c r="J24" i="4"/>
  <c r="Q23" i="4"/>
  <c r="J23" i="4"/>
  <c r="J21" i="4"/>
  <c r="J20" i="4"/>
  <c r="J19" i="4"/>
  <c r="J18" i="4"/>
  <c r="J17" i="4"/>
  <c r="D17" i="4"/>
  <c r="J16" i="4"/>
  <c r="D16" i="4"/>
  <c r="J15" i="4"/>
  <c r="D15" i="4"/>
  <c r="J14" i="4"/>
  <c r="D14" i="4"/>
  <c r="J13" i="4"/>
  <c r="D13" i="4"/>
  <c r="J12" i="4"/>
  <c r="D12" i="4"/>
  <c r="D11" i="4"/>
  <c r="D10" i="4"/>
  <c r="D9" i="4"/>
  <c r="D8" i="4"/>
  <c r="I77" i="3"/>
  <c r="I76" i="3"/>
  <c r="I75" i="3"/>
  <c r="K74" i="3"/>
  <c r="I74" i="3"/>
  <c r="I73" i="3"/>
  <c r="I72" i="3"/>
  <c r="I71" i="3"/>
  <c r="I70" i="3"/>
  <c r="I69" i="3"/>
  <c r="I68" i="3"/>
  <c r="I67" i="3"/>
  <c r="K66" i="3"/>
  <c r="I66" i="3"/>
  <c r="I65" i="3"/>
  <c r="I64" i="3"/>
  <c r="I63" i="3"/>
  <c r="D63" i="3"/>
  <c r="E63" i="3"/>
  <c r="I62" i="3"/>
  <c r="D62" i="3"/>
  <c r="E62" i="3"/>
  <c r="Q61" i="3"/>
  <c r="P61" i="3"/>
  <c r="D61" i="3"/>
  <c r="E61" i="3"/>
  <c r="I55" i="3"/>
  <c r="I54" i="3"/>
  <c r="I53" i="3"/>
  <c r="C52" i="3"/>
  <c r="I51" i="3"/>
  <c r="C51" i="3"/>
  <c r="I50" i="3"/>
  <c r="C50" i="3"/>
  <c r="I49" i="3"/>
  <c r="C49" i="3"/>
  <c r="I48" i="3"/>
  <c r="E48" i="3"/>
  <c r="F48" i="3"/>
  <c r="C48" i="3"/>
  <c r="Q47" i="3"/>
  <c r="P47" i="3"/>
  <c r="C47" i="3"/>
  <c r="C46" i="3"/>
  <c r="C45" i="3"/>
  <c r="C44" i="3"/>
  <c r="F43" i="3"/>
  <c r="C43" i="3"/>
  <c r="C42" i="3"/>
  <c r="C41" i="3"/>
  <c r="C40" i="3"/>
  <c r="C39" i="3"/>
  <c r="I37" i="3"/>
  <c r="I36" i="3"/>
  <c r="C36" i="3"/>
  <c r="I35" i="3"/>
  <c r="I34" i="3"/>
  <c r="C34" i="3"/>
  <c r="C33" i="3"/>
  <c r="I30" i="3"/>
  <c r="C30" i="3"/>
  <c r="C29" i="3"/>
  <c r="Q28" i="3"/>
  <c r="P28" i="3"/>
  <c r="C28" i="3"/>
  <c r="C27" i="3"/>
  <c r="C26" i="3"/>
  <c r="C25" i="3"/>
  <c r="C24" i="3"/>
  <c r="C22" i="3"/>
  <c r="I21" i="3"/>
  <c r="F21" i="3"/>
  <c r="C21" i="3"/>
  <c r="I20" i="3"/>
  <c r="C20" i="3"/>
  <c r="I19" i="3"/>
  <c r="I16" i="3"/>
  <c r="I13" i="3"/>
  <c r="E12" i="3"/>
  <c r="F12" i="3"/>
  <c r="C12" i="3"/>
  <c r="I11" i="3"/>
  <c r="C11" i="3"/>
  <c r="I10" i="3"/>
  <c r="C10" i="3"/>
  <c r="I9" i="3"/>
  <c r="C9" i="3"/>
  <c r="I8" i="3"/>
  <c r="C8" i="3"/>
  <c r="L7" i="3"/>
  <c r="I6" i="3"/>
  <c r="C6" i="3"/>
  <c r="I5" i="3"/>
  <c r="C5" i="3"/>
  <c r="I4" i="3"/>
  <c r="C4" i="3"/>
</calcChain>
</file>

<file path=xl/sharedStrings.xml><?xml version="1.0" encoding="utf-8"?>
<sst xmlns="http://schemas.openxmlformats.org/spreadsheetml/2006/main" count="495" uniqueCount="348">
  <si>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</si>
  <si>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</si>
  <si>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</si>
  <si>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</si>
  <si>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Parameters</t>
  </si>
  <si>
    <t>Table 1</t>
  </si>
  <si>
    <t>BCTime</t>
  </si>
  <si>
    <t>nsec</t>
  </si>
  <si>
    <t>run-2 CTP L1A Latency</t>
  </si>
  <si>
    <t>Use_L1TopoOptical</t>
  </si>
  <si>
    <t>Use_L1TopoDirect</t>
  </si>
  <si>
    <t>Use_CPJE_Topo</t>
  </si>
  <si>
    <t>Use CPJE_Electrical</t>
  </si>
  <si>
    <t>Derived parameters</t>
  </si>
  <si>
    <t>Use_L1Topo_CTPIN</t>
  </si>
  <si>
    <t>L1Calo_Phase_I</t>
  </si>
  <si>
    <t>Table 1: LAr  and TileCal Analogue (TTB+Receivers)</t>
  </si>
  <si>
    <t>Table 4: LArDigital system(LTDB+LATOME)</t>
  </si>
  <si>
    <t>ns</t>
  </si>
  <si>
    <t>BCs</t>
  </si>
  <si>
    <t>Sub Total</t>
  </si>
  <si>
    <t>Total</t>
  </si>
  <si>
    <t>Time-of-flight to Endcap at eta = 2</t>
  </si>
  <si>
    <t>Cable to pulse preamplifier</t>
  </si>
  <si>
    <t>Pulse preamplifier and shaper</t>
  </si>
  <si>
    <t>Pulse peaking time</t>
  </si>
  <si>
    <t>Digitization on LTDB</t>
  </si>
  <si>
    <t>Cable to tower-summation board</t>
  </si>
  <si>
    <t>Multiplexing on LTDB</t>
  </si>
  <si>
    <t>Analogue summation</t>
  </si>
  <si>
    <t>Serializer on LTDB</t>
  </si>
  <si>
    <t>Extra analogue summation (LTDB-&gt;TBB)</t>
  </si>
  <si>
    <t>Fibre (82 m for EC, 67 for EMB) from LTDB to LATOME</t>
  </si>
  <si>
    <t>Analogue Cable to USA15 (75.5 m)</t>
  </si>
  <si>
    <t>Receiver station</t>
  </si>
  <si>
    <t>Deserializer on LATOME - Low Level Interface</t>
  </si>
  <si>
    <t>Measured</t>
  </si>
  <si>
    <t>Analogue cable via patch panel to PPM</t>
  </si>
  <si>
    <t>Input Stage</t>
  </si>
  <si>
    <t>LAr_Analogue</t>
  </si>
  <si>
    <t>Configurabel remapping</t>
  </si>
  <si>
    <t>User Code</t>
  </si>
  <si>
    <t>Table 2: Run 2 L1Calo Processors</t>
  </si>
  <si>
    <t>Output Summation</t>
  </si>
  <si>
    <t>Estimate</t>
  </si>
  <si>
    <t>Table 8b: L1Calo TopoFoX</t>
  </si>
  <si>
    <t>Serializer - Low Level Interface</t>
  </si>
  <si>
    <t>Metres</t>
  </si>
  <si>
    <t>e/g and t/h        In parallel with jet and Et finding</t>
  </si>
  <si>
    <t>Analogue input from Table 1</t>
  </si>
  <si>
    <t>Fibre from Latome to Fox (4.8m) + Fox to eFEX (9.9m?) = 12.7 m</t>
  </si>
  <si>
    <t>LArDPS_eFeX</t>
  </si>
  <si>
    <t>Fibre lengths in Topo FOX</t>
  </si>
  <si>
    <t>PPM (Preprocessor for e/gamma, tau/hadron)</t>
  </si>
  <si>
    <t>Fibre from Latome to Fox (4.8m) + Fox to jFEX (9.9m?) = 12.7 m</t>
  </si>
  <si>
    <t>LArDPS_jFeX</t>
  </si>
  <si>
    <t>eFeX_Tfox_Topo</t>
  </si>
  <si>
    <t>eFeX_TFox_Topo</t>
  </si>
  <si>
    <t>LVDS Cable to CPMs (11m)</t>
  </si>
  <si>
    <t>Ppr_LVDS_eg</t>
  </si>
  <si>
    <t>Fibre from Latome to Fox (4.8m) + Fox to gFEX (10.6m?) = 13.4 m</t>
  </si>
  <si>
    <t>LArDPS_gFeX</t>
  </si>
  <si>
    <t>jFeX_Tfox_Topo</t>
  </si>
  <si>
    <t>jFeX_TFox_Topo</t>
  </si>
  <si>
    <t>CPM (cluster processor module)</t>
  </si>
  <si>
    <t>gFeX_Tfox_Topo</t>
  </si>
  <si>
    <t>gFeX_TFox_Topo</t>
  </si>
  <si>
    <t>CMX Decode &amp; Threshold</t>
  </si>
  <si>
    <t>These figures are incorporated directly in Tables 5-7</t>
  </si>
  <si>
    <t xml:space="preserve">         CMX (Native):  40-320 MHz Multiplex &amp; CRC</t>
  </si>
  <si>
    <t xml:space="preserve">         CMX Output Serializers</t>
  </si>
  <si>
    <t xml:space="preserve">         Optical Fibres to L1Topo (11m)</t>
  </si>
  <si>
    <t>CPCMX_Optical</t>
  </si>
  <si>
    <t>Table 5: eFEX</t>
  </si>
  <si>
    <t>eFEX Optical Inputs. Latest input highlighted</t>
  </si>
  <si>
    <t>CMX (CMM Emulator): Crate logic</t>
  </si>
  <si>
    <t>eFEX</t>
  </si>
  <si>
    <t>TREX</t>
  </si>
  <si>
    <t>LArDPS</t>
  </si>
  <si>
    <t>LVDS Parallel Cable to System CMX (2m)</t>
  </si>
  <si>
    <t>Input data available - PPM, Tile opt I, LAr DPS</t>
  </si>
  <si>
    <t>CMX System-Level Logic and LVDS Rx/Tx</t>
  </si>
  <si>
    <t>LVDS Parallel Cable to CTP (11m) for trigger sums</t>
  </si>
  <si>
    <t>CPCMX_Electrical</t>
  </si>
  <si>
    <t>MGT Rx + MGT Tx</t>
  </si>
  <si>
    <t>measured</t>
  </si>
  <si>
    <t>Data synchronisation</t>
  </si>
  <si>
    <t>Jet and Et       In parallel with e/g and t/h processing</t>
  </si>
  <si>
    <t>+ TOB-finding</t>
  </si>
  <si>
    <t>PPM (Preprocessor for jet, Et)</t>
  </si>
  <si>
    <t>+ FPGA-level TOB-sorting</t>
  </si>
  <si>
    <t xml:space="preserve">        Deserialise &amp; Sync on T-REX PPM Daughterboard</t>
  </si>
  <si>
    <t>+ FPGA–FPGA TOB transfer &amp; re-sync</t>
  </si>
  <si>
    <t xml:space="preserve">         Format, Serialise on T-REX Daughterboard</t>
  </si>
  <si>
    <t>eFEX-level TOB-sorting</t>
  </si>
  <si>
    <t>estimate</t>
  </si>
  <si>
    <t xml:space="preserve">                   CDC</t>
  </si>
  <si>
    <t>Synchronisation to MGTx clock</t>
  </si>
  <si>
    <t xml:space="preserve">                    FEX mapping and fan out</t>
  </si>
  <si>
    <t>Optical cable (15.6m) to L1Topo via TopoFox</t>
  </si>
  <si>
    <t xml:space="preserve">                    data formatting</t>
  </si>
  <si>
    <t>Optical data available at L1Topo input</t>
  </si>
  <si>
    <t>L1Calo_eFex</t>
  </si>
  <si>
    <t xml:space="preserve">                    MGT Tx</t>
  </si>
  <si>
    <t>estimated</t>
  </si>
  <si>
    <t xml:space="preserve">        Optical Fibre to eFex (25.5m) via FoX</t>
  </si>
  <si>
    <t>TREX_eFEX_Optical</t>
  </si>
  <si>
    <t xml:space="preserve">        Optical Fibre to jFex (25.5m)  via FoX</t>
  </si>
  <si>
    <t>TREX_jFEX_Optical</t>
  </si>
  <si>
    <t xml:space="preserve">       Optical Fibre to gFex (26.2m)  via FoX</t>
  </si>
  <si>
    <t>TREX_gFEX_Optical</t>
  </si>
  <si>
    <t>LVDS Cable to JEMs (11m)</t>
  </si>
  <si>
    <t>PPr_LVDS_je</t>
  </si>
  <si>
    <t>JEM (jet Et processor module)</t>
  </si>
  <si>
    <t>Table 6: jFEX</t>
  </si>
  <si>
    <t>jFEX Optical Inputs. Latest input highlighted</t>
  </si>
  <si>
    <t xml:space="preserve">         CMX (Native):  40-320 MHz Multiplex</t>
  </si>
  <si>
    <t>jFEX</t>
  </si>
  <si>
    <t>JECMX_Optical</t>
  </si>
  <si>
    <t>Deserializer on jFex</t>
  </si>
  <si>
    <t>Data dupl between FPGAs  via PMA Loopback</t>
  </si>
  <si>
    <t>Channel demultiplexing/synchronization</t>
  </si>
  <si>
    <t>Primitive processing (Jet, Energy Sums)</t>
  </si>
  <si>
    <t>JECMX_Electrical</t>
  </si>
  <si>
    <t>Tob selection for output</t>
  </si>
  <si>
    <t>Multiplexing</t>
  </si>
  <si>
    <t>Last Optical data available at L1Topo input</t>
  </si>
  <si>
    <t>CP_JE_Optical</t>
  </si>
  <si>
    <t>Serializer</t>
  </si>
  <si>
    <t>Last LVDS Electrical data available at CTP input</t>
  </si>
  <si>
    <t>CP_JE_Electrical</t>
  </si>
  <si>
    <t>Optical cable (16.2m) to L1Topo via TopoFox</t>
  </si>
  <si>
    <t>Table 2b: L1Calo FOX system</t>
  </si>
  <si>
    <t>Table 7: gFEX</t>
  </si>
  <si>
    <t>gFeX Optical Inputs. Latest input highlighted</t>
  </si>
  <si>
    <t>Fibre lengths in FOX</t>
  </si>
  <si>
    <t>gFEX</t>
  </si>
  <si>
    <t>TREX-Fox-eFeX</t>
  </si>
  <si>
    <t>TREX_Fox_eFeX</t>
  </si>
  <si>
    <t>TREX-Fox-jFeX</t>
  </si>
  <si>
    <t>Deserializer on gFEX</t>
  </si>
  <si>
    <t>TREX-Fox-gFeX</t>
  </si>
  <si>
    <t xml:space="preserve">    CRC calculation pipelining</t>
  </si>
  <si>
    <t>DPS-Fox-eFeX</t>
  </si>
  <si>
    <t xml:space="preserve">    Clock and BCID alignement</t>
  </si>
  <si>
    <t>DPS-Fox-jFeX</t>
  </si>
  <si>
    <t xml:space="preserve">    Demultiplexing, mapping and multilinear decoding</t>
  </si>
  <si>
    <t>DPS-Fox-gFeX</t>
  </si>
  <si>
    <t>These figures are incorporated directly in Tables 2 and 4</t>
  </si>
  <si>
    <t xml:space="preserve">    Latome+TREX (EM+HAD) combination and calibration</t>
  </si>
  <si>
    <t xml:space="preserve">    Output to jets Engines</t>
  </si>
  <si>
    <t xml:space="preserve">    Partial sum for neighbour calculated</t>
  </si>
  <si>
    <t xml:space="preserve">    Partial sum TX output</t>
  </si>
  <si>
    <t xml:space="preserve">    Partial sum RX input</t>
  </si>
  <si>
    <t xml:space="preserve">    Partial sum input to Jets Engines</t>
  </si>
  <si>
    <t xml:space="preserve">    Large-R jets sum output</t>
  </si>
  <si>
    <t>Primitive processing (Algorithms)</t>
  </si>
  <si>
    <t>RTL simulation</t>
  </si>
  <si>
    <t>TOB creation and selection</t>
  </si>
  <si>
    <t>Optical cable to L1Topo (16.17m to TopoFox + 2.2m to Topo)</t>
  </si>
  <si>
    <t>L1Calo_gFEX</t>
  </si>
  <si>
    <t>L1Muon_Phase_I</t>
  </si>
  <si>
    <t>Table 13: New Small Wheel sTGC</t>
  </si>
  <si>
    <t>TOF from interaction point to NSW (z=7.9m)</t>
  </si>
  <si>
    <t>calculated</t>
  </si>
  <si>
    <t>Table 8: RPC Level-1 Trigger (Muon Barrel)</t>
  </si>
  <si>
    <t>propagation on traces from pad to GFZ pin</t>
  </si>
  <si>
    <t>pad VMM: threshold crossing to rising edge of ToT</t>
  </si>
  <si>
    <t>T.o.F. from interaction point to outer RPC (max eta) (20m)</t>
  </si>
  <si>
    <t>TDS Pad logic and serialisation</t>
  </si>
  <si>
    <t>simulation</t>
  </si>
  <si>
    <t>RPC detector delay to deliver front-end signals</t>
  </si>
  <si>
    <t>Cable Delay, TDS to pad trigger on rim (max 4m+2m small)</t>
  </si>
  <si>
    <t>Cable delay from RPC front-end electronics to Splitter  input (6m)</t>
  </si>
  <si>
    <t>Table 10: TGC Level-1 Trigger (Muon Endcap)</t>
  </si>
  <si>
    <t>Pad trigger algorithm including deskew</t>
  </si>
  <si>
    <t>Splitter box delay for delivering signals</t>
  </si>
  <si>
    <t xml:space="preserve">xmit band-id,phi-id, BCID from PAD trigger </t>
  </si>
  <si>
    <t>Maximum cable delay from Splitter box to Pad box (5m)</t>
  </si>
  <si>
    <t>TOF from interaction point to TGC</t>
  </si>
  <si>
    <t>Cable delay, Pad trigger to on-chamber TDS ASIC</t>
  </si>
  <si>
    <t>Coincidence Matrix ASIC latency to deliver trigger signals</t>
  </si>
  <si>
    <t>Propagation delay on wire/strip</t>
  </si>
  <si>
    <t>Trigger Data Serialser (TDS)</t>
  </si>
  <si>
    <t>(cable delay, low to high Pad boxes) - (T.o.F., low to high tower)</t>
  </si>
  <si>
    <t>TGC response</t>
  </si>
  <si>
    <t>Cable delay: strip TDS to router</t>
  </si>
  <si>
    <t>PAD FPGA latency to deliver trigger signals</t>
  </si>
  <si>
    <t>ASD</t>
  </si>
  <si>
    <t>Router</t>
  </si>
  <si>
    <t>Pad box optical link latency</t>
  </si>
  <si>
    <t>Cable to PS-Board (12.5m max.)</t>
  </si>
  <si>
    <t>Fibre from router to small box</t>
  </si>
  <si>
    <t>Optical fiber delay from Pad box to USA15 Sector Logic board</t>
  </si>
  <si>
    <t>Variable Delay, Bunch ID, OR and signal routing</t>
  </si>
  <si>
    <t>Fibre from further small box to flexible</t>
  </si>
  <si>
    <t>RPC</t>
  </si>
  <si>
    <t>Variable Delay</t>
  </si>
  <si>
    <t>Fibre from flexible chain to USA 15</t>
  </si>
  <si>
    <t>3/4 Coincidence Matrix or 2/3 Coincidence Logic</t>
  </si>
  <si>
    <t>Trigger Processor</t>
  </si>
  <si>
    <t>Table 9: New Barrel Sector Logic</t>
  </si>
  <si>
    <t>LVDS Tx (SN65LV1023)</t>
  </si>
  <si>
    <t>Merge MM and sTGC segments</t>
  </si>
  <si>
    <t>Cable to H-pT Board (15m max.)</t>
  </si>
  <si>
    <t>Fibre to Sector Logic</t>
  </si>
  <si>
    <t>Input from Pad logic</t>
  </si>
  <si>
    <t>Sector Logic latency to deliver trigger signals</t>
  </si>
  <si>
    <t>LVDS Rx (SN65LV1224A)</t>
  </si>
  <si>
    <t>NSW inputs available at SL</t>
  </si>
  <si>
    <t>NSW</t>
  </si>
  <si>
    <t>Sector Logic to MuCTPi interface board delay</t>
  </si>
  <si>
    <t>Data sampling of the backplane inputs</t>
  </si>
  <si>
    <t>H-pT Matrix</t>
  </si>
  <si>
    <t>internal logic at 320 MHz</t>
  </si>
  <si>
    <t>G-Link Tx (HDMP-1032A) + Optical Transmitter</t>
  </si>
  <si>
    <t>GTX serialiser</t>
  </si>
  <si>
    <t>Optical Cable to USA15 (90m max.)</t>
  </si>
  <si>
    <t>Cable delay from MuCTPi interface board to MuCTPi (15m)</t>
  </si>
  <si>
    <t>Muon_Barrel</t>
  </si>
  <si>
    <t>TGC_Endcap</t>
  </si>
  <si>
    <t>Table 11: New Endcap Sector Logic</t>
  </si>
  <si>
    <t>Latest signal from Endcap</t>
  </si>
  <si>
    <t>Optical Receiver + G-Link Rx (HDMP-1034A)</t>
  </si>
  <si>
    <t>TGC R-phi coincidence (LUT)</t>
  </si>
  <si>
    <t>Latest signal from NSW</t>
  </si>
  <si>
    <t>Optical Receiver + De-serializer</t>
  </si>
  <si>
    <t>Latch the NSW signal</t>
  </si>
  <si>
    <t>Decoding and Alignment of NSW data (LUT)</t>
  </si>
  <si>
    <t>TGC BW-NSW Coincidence (LUT)</t>
  </si>
  <si>
    <t>Track Selection and pT encoding</t>
  </si>
  <si>
    <t>Serialiser (64 bit/clk, 3.2Gbps), optical transmitter</t>
  </si>
  <si>
    <t>Optical Fibre to MUCTPI (5m)</t>
  </si>
  <si>
    <t>Muon_Endcap</t>
  </si>
  <si>
    <t>Table 12: New MUCTPI</t>
  </si>
  <si>
    <t>Last Input data available from Barrel &amp; Endcap SL</t>
  </si>
  <si>
    <t xml:space="preserve">       MUCTPI processing for Topo</t>
  </si>
  <si>
    <t xml:space="preserve">                  Topo Algo processing</t>
  </si>
  <si>
    <t xml:space="preserve">                  LVDS Cable to CTP (2m)</t>
  </si>
  <si>
    <t>Muctpi_CTP_Electrical</t>
  </si>
  <si>
    <t xml:space="preserve">           L1Topo serial link output</t>
  </si>
  <si>
    <t xml:space="preserve">           Fibre to L1Topo (2 m)</t>
  </si>
  <si>
    <t>MuCTPi_Topo_Optical</t>
  </si>
  <si>
    <t>MUCTPI processing for thresholds</t>
  </si>
  <si>
    <t>CTP serial link output</t>
  </si>
  <si>
    <t>Fibre to CTP (2m)</t>
  </si>
  <si>
    <t>MuCTPi_CTP_Optical</t>
  </si>
  <si>
    <t>L1Topo_and_CTP_Phase_I</t>
  </si>
  <si>
    <t>Table 14: L1Topo</t>
  </si>
  <si>
    <t>Input available from CP_JE, eFex, jFex, gFex &amp; Muctpi</t>
  </si>
  <si>
    <t>L1Topo Input Deserialisers</t>
  </si>
  <si>
    <t>Synchronize to local clock - 320-&gt; 40 MHz</t>
  </si>
  <si>
    <t xml:space="preserve">          Algorithmic Processing</t>
  </si>
  <si>
    <t xml:space="preserve">          Electrical Output to CTP (multiplexed) (if used)</t>
  </si>
  <si>
    <t xml:space="preserve">          Electrical Cable to CTP (if used) (2m)</t>
  </si>
  <si>
    <t xml:space="preserve">         L1Topo electrical input available at CTP</t>
  </si>
  <si>
    <t>L1Topo_Electrical</t>
  </si>
  <si>
    <t xml:space="preserve">     Processing </t>
  </si>
  <si>
    <t xml:space="preserve">     Output Multiplexers 40-320 MHz (if used)</t>
  </si>
  <si>
    <t xml:space="preserve">     Output Serialisers for optics (if used)</t>
  </si>
  <si>
    <t xml:space="preserve">     Fibres to CTP (if used) (2m)</t>
  </si>
  <si>
    <t xml:space="preserve">    L1Topo Optical inputs to CTP available</t>
  </si>
  <si>
    <t>L1Topo_Optical</t>
  </si>
  <si>
    <t>Table 15: CTP</t>
  </si>
  <si>
    <t>Last CTP_IN Electrical Signal arrival</t>
  </si>
  <si>
    <t>CTP_IN</t>
  </si>
  <si>
    <t>CTP_In processing + PITbus</t>
  </si>
  <si>
    <t>CTP_IN Electrical input data ready in CORE</t>
  </si>
  <si>
    <t>CTP_CORE_PIT</t>
  </si>
  <si>
    <t>Last Optical Signal Arrival</t>
  </si>
  <si>
    <t>CTP_Direct_Optical</t>
  </si>
  <si>
    <t>Input deserialisers</t>
  </si>
  <si>
    <t>Optical input data ready in CORE</t>
  </si>
  <si>
    <t>CTP_Optical</t>
  </si>
  <si>
    <t>Last CTP_CORE Direct Electrical Signal</t>
  </si>
  <si>
    <t>CTP_Direct_Electrical</t>
  </si>
  <si>
    <t>Signal Retiming</t>
  </si>
  <si>
    <t>CTP_CORE Electrical input available to CORE</t>
  </si>
  <si>
    <t>CTP_CORE_Electrical</t>
  </si>
  <si>
    <t>Last Input Data available to CORE for processing</t>
  </si>
  <si>
    <t>New CTP_CORE: processing and output</t>
  </si>
  <si>
    <t>CTP Out</t>
  </si>
  <si>
    <t>CTP_L1A</t>
  </si>
  <si>
    <t>Table 16: TTC/ALTI for LAr</t>
  </si>
  <si>
    <t>CTP CORE</t>
  </si>
  <si>
    <t>PIT (CTPIN)</t>
  </si>
  <si>
    <t>Direct Electric</t>
  </si>
  <si>
    <t>Direct Optical</t>
  </si>
  <si>
    <t>Data available at CTP_Out</t>
  </si>
  <si>
    <t>Cable to LTPi (14.2m)</t>
  </si>
  <si>
    <t>LTPi + LTP + LTP + TTCvi (delay 17ns) + TTCex</t>
  </si>
  <si>
    <t xml:space="preserve">           ALTI+ALTI (no delay)</t>
  </si>
  <si>
    <t>measured (to be done again)</t>
  </si>
  <si>
    <t xml:space="preserve">          ALTI+ALTI (delay)</t>
  </si>
  <si>
    <t>Contacts</t>
  </si>
  <si>
    <t>Table</t>
  </si>
  <si>
    <t>Item</t>
  </si>
  <si>
    <t>Primary Contact</t>
  </si>
  <si>
    <t>Last Update/Confirmation</t>
  </si>
  <si>
    <t>Old Latency</t>
  </si>
  <si>
    <t>New Latency</t>
  </si>
  <si>
    <t>impact on total latency</t>
  </si>
  <si>
    <t>Initial version of the table</t>
  </si>
  <si>
    <t>Norman Gee</t>
  </si>
  <si>
    <t>Lar Analogue chain to Receivers</t>
  </si>
  <si>
    <t>Francesco Lanni</t>
  </si>
  <si>
    <t>PPM/TREX</t>
  </si>
  <si>
    <t>Victor Andrei</t>
  </si>
  <si>
    <t>CPM</t>
  </si>
  <si>
    <t>Richard Staley</t>
  </si>
  <si>
    <t>CMX</t>
  </si>
  <si>
    <t>Wojtek Fedorko</t>
  </si>
  <si>
    <t>JEM</t>
  </si>
  <si>
    <t>Uli Schaeffer</t>
  </si>
  <si>
    <t>Tile DPS</t>
  </si>
  <si>
    <t>Lar DPS</t>
  </si>
  <si>
    <t>Francesco Lanni, Clément Camincher</t>
  </si>
  <si>
    <t>increase LTDB to Latome fibre length from 70 to 86m</t>
  </si>
  <si>
    <t>4b</t>
  </si>
  <si>
    <t>Fox</t>
  </si>
  <si>
    <t>Dan Hayden</t>
  </si>
  <si>
    <t>eFex</t>
  </si>
  <si>
    <t>Ian Brawn</t>
  </si>
  <si>
    <t>jFex</t>
  </si>
  <si>
    <t>gFeX</t>
  </si>
  <si>
    <t>Michael Begel, David Miller</t>
  </si>
  <si>
    <t>Update GFex latency from David</t>
  </si>
  <si>
    <t>RPC Barrel</t>
  </si>
  <si>
    <t>Riccardo Vari, Claudio Lucci</t>
  </si>
  <si>
    <t>TGC Trigger Overall</t>
  </si>
  <si>
    <t>Osamu Sasaki, Junpei Maeda, Tomoyuki Sato</t>
  </si>
  <si>
    <t>New MuCTPi</t>
  </si>
  <si>
    <t>Stefan Haas, Antoine Marzin</t>
  </si>
  <si>
    <t>split topo and multiplicity path</t>
  </si>
  <si>
    <t>10.4 (topo)</t>
  </si>
  <si>
    <t>8.4 (topo)</t>
  </si>
  <si>
    <t>New Small Wheel TGC</t>
  </si>
  <si>
    <t>Lorne Levinson</t>
  </si>
  <si>
    <t>L1Topo</t>
  </si>
  <si>
    <t>add Processing time of 4BC in L1Topo optical path</t>
  </si>
  <si>
    <t>CTP</t>
  </si>
  <si>
    <t>Fix CTPIN input in table 15 (remove delay and adjust processing time)</t>
  </si>
  <si>
    <t>TTC</t>
  </si>
  <si>
    <t>total</t>
  </si>
  <si>
    <t>2013-05</t>
  </si>
  <si>
    <t xml:space="preserve"> </t>
  </si>
  <si>
    <t>add 1.2 in 2018</t>
  </si>
  <si>
    <t>stable since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</si>
</sst>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7">
    <font>
      <sz val="11"/>
      <color indexed="8"/>
      <name val="Calibri"/>
    </font>
    <font>
      <sz val="12"/>
      <color indexed="8"/>
      <name val="Calibri"/>
      <family val="2"/>
    </font>
    <font>
      <sz val="14"/>
      <color indexed="8"/>
      <name val="Calibri"/>
      <family val="2"/>
    </font>
    <font>
      <u/>
      <sz val="12"/>
      <color indexed="11"/>
      <name val="Calibri"/>
      <family val="2"/>
    </font>
    <font>
      <b/>
      <sz val="18"/>
      <color indexed="8"/>
      <name val="Calibri"/>
      <family val="2"/>
    </font>
    <font>
      <b/>
      <sz val="11"/>
      <color indexed="8"/>
      <name val="Calibri"/>
      <family val="2"/>
    </font>
    <font>
      <b/>
      <sz val="10"/>
      <color indexed="8"/>
      <name val="Calibri"/>
      <family val="2"/>
    </font>
    <font>
      <u/>
      <sz val="12"/>
      <color indexed="8"/>
      <name val="Calibri"/>
      <family val="2"/>
    </font>
    <font>
      <b/>
      <sz val="12"/>
      <color indexed="11"/>
      <name val="Calibri"/>
      <family val="2"/>
    </font>
    <font>
      <b/>
      <sz val="12"/>
      <color indexed="8"/>
      <name val="Calibri"/>
      <family val="2"/>
    </font>
    <font>
      <sz val="12"/>
      <color indexed="11"/>
      <name val="Calibri"/>
      <family val="2"/>
    </font>
    <font>
      <i/>
      <sz val="12"/>
      <color indexed="11"/>
      <name val="Calibri"/>
      <family val="2"/>
    </font>
    <font>
      <b/>
      <sz val="12"/>
      <color indexed="17"/>
      <name val="Calibri"/>
      <family val="2"/>
    </font>
    <font>
      <b/>
      <sz val="11"/>
      <color indexed="11"/>
      <name val="Calibri"/>
      <family val="2"/>
    </font>
    <font>
      <i/>
      <sz val="11"/>
      <color indexed="20"/>
      <name val="Calibri"/>
      <family val="2"/>
    </font>
    <font>
      <b/>
      <sz val="11"/>
      <color indexed="22"/>
      <name val="Calibri"/>
      <family val="2"/>
    </font>
    <font>
      <sz val="11"/>
      <color indexed="17"/>
      <name val="Calibri"/>
      <family val="2"/>
    </font>
    <font>
      <i/>
      <sz val="12"/>
      <color indexed="8"/>
      <name val="Calibri"/>
      <family val="2"/>
    </font>
    <font>
      <i/>
      <sz val="12"/>
      <color indexed="20"/>
      <name val="Calibri"/>
      <family val="2"/>
    </font>
    <font>
      <i/>
      <sz val="12"/>
      <color indexed="23"/>
      <name val="Calibri"/>
      <family val="2"/>
    </font>
    <font>
      <b/>
      <sz val="14"/>
      <color indexed="17"/>
      <name val="Calibri"/>
      <family val="2"/>
    </font>
    <font>
      <i/>
      <sz val="11"/>
      <color indexed="8"/>
      <name val="Calibri"/>
      <family val="2"/>
    </font>
    <font>
      <b/>
      <sz val="14"/>
      <color indexed="24"/>
      <name val="Calibri"/>
      <family val="2"/>
    </font>
    <font>
      <sz val="12"/>
      <color indexed="8"/>
      <name val="Times Roman"/>
    </font>
    <font>
      <sz val="18"/>
      <color indexed="8"/>
      <name val="Calibri"/>
      <family val="2"/>
    </font>
    <font>
      <sz val="12"/>
      <color indexed="17"/>
      <name val="Calibri"/>
      <family val="2"/>
    </font>
    <font>
      <b/>
      <sz val="11"/>
      <color indexed="17"/>
      <name val="Calibri"/>
      <family val="2"/>
    </font>
    <font>
      <b/>
      <sz val="12"/>
      <color indexed="22"/>
      <name val="Calibri"/>
      <family val="2"/>
    </font>
    <font>
      <b/>
      <sz val="12"/>
      <color indexed="33"/>
      <name val="Calibri"/>
      <family val="2"/>
    </font>
    <font>
      <b/>
      <sz val="12"/>
      <color indexed="35"/>
      <name val="Calibri"/>
      <family val="2"/>
    </font>
    <font>
      <b/>
      <sz val="16"/>
      <color indexed="33"/>
      <name val="Calibri"/>
      <family val="2"/>
    </font>
    <font>
      <b/>
      <sz val="16"/>
      <color indexed="8"/>
      <name val="Calibri"/>
      <family val="2"/>
    </font>
    <font>
      <b/>
      <sz val="15"/>
      <color indexed="8"/>
      <name val="Calibri"/>
      <family val="2"/>
    </font>
    <font>
      <b/>
      <sz val="20"/>
      <color rgb="FFFF0000"/>
      <name val="Calibri"/>
      <family val="2"/>
    </font>
    <font>
      <b/>
      <sz val="11"/>
      <color rgb="FFFF0000"/>
      <name val="Calibri"/>
      <family val="2"/>
    </font>
    <font>
      <sz val="8"/>
      <name val="Calibri"/>
      <family val="2"/>
    </font>
    <font>
      <b/>
      <sz val="11"/>
      <color rgb="FF000000"/>
      <name val="Calibri"/>
      <family val="2"/>
    </font>
  </fonts>
  <fills count="1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5"/>
        <bgColor auto="1"/>
      </patternFill>
    </fill>
    <fill>
      <patternFill patternType="solid">
        <fgColor indexed="26"/>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s>
  <borders count="61">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8"/>
      </bottom>
      <diagonal/>
    </border>
    <border>
      <left style="thin">
        <color indexed="12"/>
      </left>
      <right style="medium">
        <color indexed="8"/>
      </right>
      <top style="thin">
        <color indexed="12"/>
      </top>
      <bottom style="thin">
        <color indexed="12"/>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indexed="8"/>
      </left>
      <right style="medium">
        <color indexed="8"/>
      </right>
      <top style="thin">
        <color indexed="12"/>
      </top>
      <bottom style="thin">
        <color indexed="12"/>
      </bottom>
      <diagonal/>
    </border>
    <border>
      <left style="medium">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style="medium">
        <color indexed="8"/>
      </left>
      <right style="thin">
        <color indexed="12"/>
      </right>
      <top style="thin">
        <color indexed="12"/>
      </top>
      <bottom style="thin">
        <color indexed="12"/>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thin">
        <color indexed="12"/>
      </left>
      <right style="thin">
        <color indexed="12"/>
      </right>
      <top style="medium">
        <color indexed="8"/>
      </top>
      <bottom style="thin">
        <color indexed="12"/>
      </bottom>
      <diagonal/>
    </border>
    <border>
      <left style="thin">
        <color indexed="12"/>
      </left>
      <right style="medium">
        <color indexed="8"/>
      </right>
      <top style="thin">
        <color indexed="12"/>
      </top>
      <bottom/>
      <diagonal/>
    </border>
    <border>
      <left style="thin">
        <color indexed="12"/>
      </left>
      <right style="medium">
        <color indexed="8"/>
      </right>
      <top/>
      <bottom/>
      <diagonal/>
    </border>
    <border>
      <left style="medium">
        <color indexed="8"/>
      </left>
      <right style="thin">
        <color indexed="12"/>
      </right>
      <top style="thin">
        <color indexed="12"/>
      </top>
      <bottom style="hair">
        <color indexed="8"/>
      </bottom>
      <diagonal/>
    </border>
    <border>
      <left style="hair">
        <color indexed="8"/>
      </left>
      <right style="thin">
        <color indexed="12"/>
      </right>
      <top style="thin">
        <color indexed="12"/>
      </top>
      <bottom style="thin">
        <color indexed="12"/>
      </bottom>
      <diagonal/>
    </border>
    <border>
      <left style="thin">
        <color indexed="12"/>
      </left>
      <right style="thin">
        <color indexed="12"/>
      </right>
      <top style="hair">
        <color indexed="8"/>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8"/>
      </left>
      <right style="thin">
        <color indexed="12"/>
      </right>
      <top style="thin">
        <color indexed="12"/>
      </top>
      <bottom style="thin">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bottom/>
      <diagonal/>
    </border>
    <border>
      <left style="hair">
        <color indexed="8"/>
      </left>
      <right style="hair">
        <color indexed="8"/>
      </right>
      <top/>
      <bottom/>
      <diagonal/>
    </border>
    <border>
      <left style="hair">
        <color indexed="8"/>
      </left>
      <right style="medium">
        <color indexed="8"/>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thin">
        <color indexed="12"/>
      </left>
      <right style="thin">
        <color indexed="8"/>
      </right>
      <top style="thin">
        <color indexed="12"/>
      </top>
      <bottom style="thin">
        <color indexed="8"/>
      </bottom>
      <diagonal/>
    </border>
    <border>
      <left style="thin">
        <color indexed="12"/>
      </left>
      <right style="medium">
        <color indexed="8"/>
      </right>
      <top/>
      <bottom style="thin">
        <color indexed="12"/>
      </bottom>
      <diagonal/>
    </border>
    <border>
      <left style="thin">
        <color indexed="12"/>
      </left>
      <right style="thin">
        <color indexed="12"/>
      </right>
      <top style="medium">
        <color indexed="8"/>
      </top>
      <bottom style="thin">
        <color indexed="27"/>
      </bottom>
      <diagonal/>
    </border>
    <border>
      <left style="thin">
        <color indexed="12"/>
      </left>
      <right style="thin">
        <color indexed="27"/>
      </right>
      <top style="thin">
        <color indexed="12"/>
      </top>
      <bottom style="thin">
        <color indexed="12"/>
      </bottom>
      <diagonal/>
    </border>
    <border>
      <left style="thin">
        <color indexed="27"/>
      </left>
      <right style="thin">
        <color indexed="27"/>
      </right>
      <top style="thin">
        <color indexed="27"/>
      </top>
      <bottom style="thin">
        <color indexed="27"/>
      </bottom>
      <diagonal/>
    </border>
    <border>
      <left style="thin">
        <color indexed="27"/>
      </left>
      <right style="thin">
        <color indexed="12"/>
      </right>
      <top style="thin">
        <color indexed="12"/>
      </top>
      <bottom style="thin">
        <color indexed="12"/>
      </bottom>
      <diagonal/>
    </border>
    <border>
      <left style="thin">
        <color indexed="12"/>
      </left>
      <right style="thin">
        <color indexed="12"/>
      </right>
      <top style="thin">
        <color indexed="27"/>
      </top>
      <bottom style="thin">
        <color indexed="12"/>
      </bottom>
      <diagonal/>
    </border>
    <border>
      <left style="hair">
        <color indexed="8"/>
      </left>
      <right style="hair">
        <color indexed="8"/>
      </right>
      <top style="hair">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dotted">
        <color indexed="8"/>
      </bottom>
      <diagonal/>
    </border>
    <border>
      <left style="hair">
        <color indexed="8"/>
      </left>
      <right style="hair">
        <color indexed="8"/>
      </right>
      <top style="hair">
        <color indexed="8"/>
      </top>
      <bottom style="dotted">
        <color indexed="34"/>
      </bottom>
      <diagonal/>
    </border>
    <border>
      <left style="medium">
        <color indexed="8"/>
      </left>
      <right style="dotted">
        <color indexed="8"/>
      </right>
      <top style="hair">
        <color indexed="8"/>
      </top>
      <bottom style="hair">
        <color indexed="8"/>
      </bottom>
      <diagonal/>
    </border>
    <border>
      <left style="dotted">
        <color indexed="8"/>
      </left>
      <right style="dotted">
        <color indexed="34"/>
      </right>
      <top style="dotted">
        <color indexed="8"/>
      </top>
      <bottom style="dotted">
        <color indexed="8"/>
      </bottom>
      <diagonal/>
    </border>
    <border>
      <left style="dotted">
        <color indexed="34"/>
      </left>
      <right style="dotted">
        <color indexed="34"/>
      </right>
      <top style="dotted">
        <color indexed="34"/>
      </top>
      <bottom style="dotted">
        <color indexed="34"/>
      </bottom>
      <diagonal/>
    </border>
    <border>
      <left style="dotted">
        <color indexed="34"/>
      </left>
      <right style="hair">
        <color indexed="8"/>
      </right>
      <top style="hair">
        <color indexed="8"/>
      </top>
      <bottom style="hair">
        <color indexed="8"/>
      </bottom>
      <diagonal/>
    </border>
    <border>
      <left style="hair">
        <color indexed="8"/>
      </left>
      <right style="hair">
        <color indexed="8"/>
      </right>
      <top style="dotted">
        <color indexed="8"/>
      </top>
      <bottom style="hair">
        <color indexed="8"/>
      </bottom>
      <diagonal/>
    </border>
    <border>
      <left style="hair">
        <color indexed="8"/>
      </left>
      <right style="hair">
        <color indexed="8"/>
      </right>
      <top style="dotted">
        <color indexed="34"/>
      </top>
      <bottom style="hair">
        <color indexed="8"/>
      </bottom>
      <diagonal/>
    </border>
    <border>
      <left style="medium">
        <color indexed="8"/>
      </left>
      <right style="thin">
        <color indexed="8"/>
      </right>
      <top style="thin">
        <color indexed="12"/>
      </top>
      <bottom style="thin">
        <color indexed="12"/>
      </bottom>
      <diagonal/>
    </border>
  </borders>
  <cellStyleXfs count="1">
    <xf numFmtId="0" fontId="0" fillId="0" borderId="0" applyNumberFormat="0" applyFill="0" applyBorder="0" applyProtection="0"/>
  </cellStyleXfs>
  <cellXfs count="427">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0" fillId="0" borderId="1" xfId="0" applyNumberFormat="1" applyFont="1" applyBorder="1" applyAlignment="1"/>
    <xf numFmtId="0" fontId="0" fillId="0" borderId="1" xfId="0" applyNumberFormat="1" applyFont="1" applyBorder="1" applyAlignment="1"/>
    <xf numFmtId="0" fontId="0" fillId="0" borderId="1" xfId="0" applyFont="1" applyBorder="1" applyAlignment="1"/>
    <xf numFmtId="2" fontId="0" fillId="0" borderId="1" xfId="0" applyNumberFormat="1" applyFont="1" applyBorder="1" applyAlignment="1"/>
    <xf numFmtId="0" fontId="0" fillId="0" borderId="0" xfId="0" applyNumberFormat="1" applyFont="1" applyAlignment="1"/>
    <xf numFmtId="0" fontId="0" fillId="4" borderId="1" xfId="0" applyFont="1" applyFill="1" applyBorder="1" applyAlignment="1">
      <alignment vertical="center"/>
    </xf>
    <xf numFmtId="49" fontId="4" fillId="4" borderId="2" xfId="0" applyNumberFormat="1" applyFont="1" applyFill="1" applyBorder="1" applyAlignment="1">
      <alignment vertical="center"/>
    </xf>
    <xf numFmtId="1" fontId="4" fillId="4" borderId="2" xfId="0" applyNumberFormat="1" applyFont="1" applyFill="1" applyBorder="1" applyAlignment="1">
      <alignment vertical="center"/>
    </xf>
    <xf numFmtId="164" fontId="5" fillId="4" borderId="2" xfId="0" applyNumberFormat="1" applyFont="1" applyFill="1" applyBorder="1" applyAlignment="1">
      <alignment vertical="center"/>
    </xf>
    <xf numFmtId="0" fontId="0" fillId="4" borderId="3" xfId="0" applyFont="1" applyFill="1" applyBorder="1" applyAlignment="1">
      <alignment vertical="center"/>
    </xf>
    <xf numFmtId="0" fontId="5" fillId="4" borderId="4" xfId="0" applyFont="1" applyFill="1" applyBorder="1" applyAlignment="1">
      <alignment vertical="center"/>
    </xf>
    <xf numFmtId="49" fontId="5" fillId="4" borderId="5" xfId="0" applyNumberFormat="1" applyFont="1" applyFill="1" applyBorder="1" applyAlignment="1">
      <alignment horizontal="center" vertical="center"/>
    </xf>
    <xf numFmtId="49" fontId="5" fillId="4" borderId="6" xfId="0" applyNumberFormat="1" applyFont="1" applyFill="1" applyBorder="1" applyAlignment="1">
      <alignment horizontal="right" vertical="center"/>
    </xf>
    <xf numFmtId="0" fontId="0" fillId="4" borderId="7" xfId="0" applyFont="1" applyFill="1" applyBorder="1" applyAlignment="1">
      <alignment vertical="center"/>
    </xf>
    <xf numFmtId="0" fontId="6" fillId="4" borderId="8" xfId="0" applyFont="1" applyFill="1" applyBorder="1" applyAlignment="1">
      <alignment horizontal="center" vertical="center"/>
    </xf>
    <xf numFmtId="49" fontId="6" fillId="4" borderId="9" xfId="0" applyNumberFormat="1" applyFont="1" applyFill="1" applyBorder="1" applyAlignment="1">
      <alignment horizontal="center" vertical="center"/>
    </xf>
    <xf numFmtId="49" fontId="5" fillId="4" borderId="9" xfId="0" applyNumberFormat="1" applyFont="1" applyFill="1" applyBorder="1" applyAlignment="1">
      <alignment horizontal="right" vertical="center"/>
    </xf>
    <xf numFmtId="49" fontId="5" fillId="4" borderId="10" xfId="0" applyNumberFormat="1" applyFont="1" applyFill="1" applyBorder="1" applyAlignment="1">
      <alignment horizontal="right" vertical="center"/>
    </xf>
    <xf numFmtId="0" fontId="0" fillId="4" borderId="11" xfId="0" applyFont="1" applyFill="1" applyBorder="1" applyAlignment="1">
      <alignment vertical="center"/>
    </xf>
    <xf numFmtId="49" fontId="1" fillId="5" borderId="12" xfId="0" applyNumberFormat="1" applyFont="1" applyFill="1" applyBorder="1" applyAlignment="1">
      <alignment vertical="center"/>
    </xf>
    <xf numFmtId="1" fontId="1" fillId="5" borderId="13" xfId="0" applyNumberFormat="1" applyFont="1" applyFill="1" applyBorder="1" applyAlignment="1">
      <alignment vertical="center"/>
    </xf>
    <xf numFmtId="164" fontId="1" fillId="5" borderId="13" xfId="0" applyNumberFormat="1" applyFont="1" applyFill="1" applyBorder="1" applyAlignment="1">
      <alignment vertical="center"/>
    </xf>
    <xf numFmtId="164" fontId="1" fillId="5" borderId="14" xfId="0" applyNumberFormat="1" applyFont="1" applyFill="1" applyBorder="1" applyAlignment="1">
      <alignment vertical="center"/>
    </xf>
    <xf numFmtId="49" fontId="1" fillId="5" borderId="15" xfId="0" applyNumberFormat="1" applyFont="1" applyFill="1" applyBorder="1" applyAlignment="1">
      <alignment vertical="center"/>
    </xf>
    <xf numFmtId="1" fontId="1" fillId="5" borderId="16" xfId="0" applyNumberFormat="1" applyFont="1" applyFill="1" applyBorder="1" applyAlignment="1">
      <alignment vertical="center"/>
    </xf>
    <xf numFmtId="164" fontId="1" fillId="5" borderId="16" xfId="0" applyNumberFormat="1" applyFont="1" applyFill="1" applyBorder="1" applyAlignment="1">
      <alignment vertical="center"/>
    </xf>
    <xf numFmtId="164" fontId="1" fillId="5" borderId="17" xfId="0" applyNumberFormat="1" applyFont="1" applyFill="1" applyBorder="1" applyAlignment="1">
      <alignment vertical="center"/>
    </xf>
    <xf numFmtId="164" fontId="7" fillId="5" borderId="16" xfId="0" applyNumberFormat="1" applyFont="1" applyFill="1" applyBorder="1" applyAlignment="1">
      <alignment vertical="center"/>
    </xf>
    <xf numFmtId="0" fontId="1" fillId="5" borderId="15" xfId="0" applyFont="1" applyFill="1" applyBorder="1" applyAlignment="1">
      <alignment vertical="center"/>
    </xf>
    <xf numFmtId="164" fontId="8" fillId="5" borderId="17" xfId="0" applyNumberFormat="1" applyFont="1" applyFill="1" applyBorder="1" applyAlignment="1">
      <alignment vertical="center"/>
    </xf>
    <xf numFmtId="164" fontId="9" fillId="5" borderId="16" xfId="0" applyNumberFormat="1" applyFont="1" applyFill="1" applyBorder="1" applyAlignment="1">
      <alignment vertical="center"/>
    </xf>
    <xf numFmtId="164" fontId="10" fillId="5" borderId="17" xfId="0" applyNumberFormat="1" applyFont="1" applyFill="1" applyBorder="1" applyAlignment="1">
      <alignment vertical="center"/>
    </xf>
    <xf numFmtId="49" fontId="1" fillId="6" borderId="15" xfId="0" applyNumberFormat="1" applyFont="1" applyFill="1" applyBorder="1" applyAlignment="1">
      <alignment vertical="center"/>
    </xf>
    <xf numFmtId="1" fontId="1" fillId="6" borderId="16" xfId="0" applyNumberFormat="1" applyFont="1" applyFill="1" applyBorder="1" applyAlignment="1">
      <alignment vertical="center"/>
    </xf>
    <xf numFmtId="164" fontId="1" fillId="6" borderId="16" xfId="0" applyNumberFormat="1" applyFont="1" applyFill="1" applyBorder="1" applyAlignment="1">
      <alignment vertical="center"/>
    </xf>
    <xf numFmtId="164" fontId="1" fillId="6" borderId="17" xfId="0" applyNumberFormat="1" applyFont="1" applyFill="1" applyBorder="1" applyAlignment="1">
      <alignment vertical="center"/>
    </xf>
    <xf numFmtId="164" fontId="0" fillId="6" borderId="16" xfId="0" applyNumberFormat="1" applyFont="1" applyFill="1" applyBorder="1" applyAlignment="1">
      <alignment vertical="center"/>
    </xf>
    <xf numFmtId="49" fontId="1" fillId="7" borderId="15" xfId="0" applyNumberFormat="1" applyFont="1" applyFill="1" applyBorder="1" applyAlignment="1">
      <alignment vertical="center"/>
    </xf>
    <xf numFmtId="1" fontId="1" fillId="7" borderId="16" xfId="0" applyNumberFormat="1" applyFont="1" applyFill="1" applyBorder="1" applyAlignment="1">
      <alignment vertical="center"/>
    </xf>
    <xf numFmtId="164" fontId="1" fillId="7" borderId="16" xfId="0" applyNumberFormat="1" applyFont="1" applyFill="1" applyBorder="1" applyAlignment="1">
      <alignment vertical="center"/>
    </xf>
    <xf numFmtId="164" fontId="11" fillId="6" borderId="17" xfId="0" applyNumberFormat="1" applyFont="1" applyFill="1" applyBorder="1" applyAlignment="1">
      <alignment vertical="center"/>
    </xf>
    <xf numFmtId="0" fontId="1" fillId="6" borderId="15" xfId="0" applyFont="1" applyFill="1" applyBorder="1" applyAlignment="1">
      <alignment vertical="center"/>
    </xf>
    <xf numFmtId="164" fontId="9" fillId="6" borderId="16" xfId="0" applyNumberFormat="1" applyFont="1" applyFill="1" applyBorder="1" applyAlignment="1">
      <alignment vertical="center"/>
    </xf>
    <xf numFmtId="164" fontId="12" fillId="6" borderId="17" xfId="0" applyNumberFormat="1" applyFont="1" applyFill="1" applyBorder="1" applyAlignment="1">
      <alignment vertical="center"/>
    </xf>
    <xf numFmtId="49" fontId="1" fillId="8" borderId="15" xfId="0" applyNumberFormat="1" applyFont="1" applyFill="1" applyBorder="1" applyAlignment="1">
      <alignment vertical="center"/>
    </xf>
    <xf numFmtId="1" fontId="1" fillId="8" borderId="16" xfId="0" applyNumberFormat="1" applyFont="1" applyFill="1" applyBorder="1" applyAlignment="1">
      <alignment vertical="center"/>
    </xf>
    <xf numFmtId="164" fontId="1" fillId="8" borderId="16" xfId="0" applyNumberFormat="1" applyFont="1" applyFill="1" applyBorder="1" applyAlignment="1">
      <alignment vertical="center"/>
    </xf>
    <xf numFmtId="164" fontId="1" fillId="8" borderId="17" xfId="0" applyNumberFormat="1" applyFont="1" applyFill="1" applyBorder="1" applyAlignment="1">
      <alignment vertical="center"/>
    </xf>
    <xf numFmtId="49" fontId="0" fillId="4" borderId="11" xfId="0" applyNumberFormat="1" applyFont="1" applyFill="1" applyBorder="1" applyAlignment="1">
      <alignment vertical="center"/>
    </xf>
    <xf numFmtId="0" fontId="1" fillId="6" borderId="18" xfId="0" applyFont="1" applyFill="1" applyBorder="1" applyAlignment="1">
      <alignment vertical="center"/>
    </xf>
    <xf numFmtId="1" fontId="1" fillId="6" borderId="19" xfId="0" applyNumberFormat="1" applyFont="1" applyFill="1" applyBorder="1" applyAlignment="1">
      <alignment vertical="center"/>
    </xf>
    <xf numFmtId="164" fontId="1" fillId="6" borderId="19" xfId="0" applyNumberFormat="1" applyFont="1" applyFill="1" applyBorder="1" applyAlignment="1">
      <alignment vertical="center"/>
    </xf>
    <xf numFmtId="164" fontId="8" fillId="6" borderId="20" xfId="0" applyNumberFormat="1" applyFont="1" applyFill="1" applyBorder="1" applyAlignment="1">
      <alignment vertical="center"/>
    </xf>
    <xf numFmtId="49" fontId="0" fillId="4" borderId="7" xfId="0" applyNumberFormat="1" applyFont="1" applyFill="1" applyBorder="1" applyAlignment="1">
      <alignment vertical="center"/>
    </xf>
    <xf numFmtId="0" fontId="0" fillId="4" borderId="21" xfId="0" applyFont="1" applyFill="1" applyBorder="1" applyAlignment="1">
      <alignment vertical="center"/>
    </xf>
    <xf numFmtId="0" fontId="0" fillId="4" borderId="2" xfId="0" applyFont="1" applyFill="1" applyBorder="1" applyAlignment="1">
      <alignment vertical="center"/>
    </xf>
    <xf numFmtId="1" fontId="0" fillId="4" borderId="2" xfId="0" applyNumberFormat="1" applyFont="1" applyFill="1" applyBorder="1" applyAlignment="1">
      <alignment vertical="center"/>
    </xf>
    <xf numFmtId="164" fontId="0" fillId="4" borderId="1" xfId="0" applyNumberFormat="1" applyFont="1" applyFill="1" applyBorder="1" applyAlignment="1">
      <alignment vertical="center"/>
    </xf>
    <xf numFmtId="0" fontId="0" fillId="4" borderId="22" xfId="0" applyFont="1" applyFill="1" applyBorder="1" applyAlignment="1">
      <alignment vertical="center"/>
    </xf>
    <xf numFmtId="0" fontId="5" fillId="4" borderId="8" xfId="0" applyFont="1" applyFill="1" applyBorder="1" applyAlignment="1">
      <alignment vertical="center"/>
    </xf>
    <xf numFmtId="49" fontId="5" fillId="4" borderId="9" xfId="0" applyNumberFormat="1" applyFont="1" applyFill="1" applyBorder="1" applyAlignment="1">
      <alignment horizontal="center" vertical="center"/>
    </xf>
    <xf numFmtId="164" fontId="7" fillId="8" borderId="16" xfId="0" applyNumberFormat="1" applyFont="1" applyFill="1" applyBorder="1" applyAlignment="1">
      <alignment vertical="center"/>
    </xf>
    <xf numFmtId="49" fontId="5" fillId="4" borderId="10" xfId="0" applyNumberFormat="1" applyFont="1" applyFill="1" applyBorder="1" applyAlignment="1">
      <alignment horizontal="center" vertical="center"/>
    </xf>
    <xf numFmtId="0" fontId="0" fillId="4" borderId="11" xfId="0" applyFont="1" applyFill="1" applyBorder="1" applyAlignment="1"/>
    <xf numFmtId="49" fontId="1" fillId="6" borderId="12" xfId="0" applyNumberFormat="1" applyFont="1" applyFill="1" applyBorder="1" applyAlignment="1">
      <alignment vertical="center"/>
    </xf>
    <xf numFmtId="1" fontId="1" fillId="6" borderId="13" xfId="0" applyNumberFormat="1" applyFont="1" applyFill="1" applyBorder="1" applyAlignment="1">
      <alignment vertical="center"/>
    </xf>
    <xf numFmtId="164" fontId="0" fillId="6" borderId="13" xfId="0" applyNumberFormat="1" applyFont="1" applyFill="1" applyBorder="1" applyAlignment="1">
      <alignment vertical="center"/>
    </xf>
    <xf numFmtId="164" fontId="13" fillId="6" borderId="14" xfId="0" applyNumberFormat="1" applyFont="1" applyFill="1" applyBorder="1" applyAlignment="1">
      <alignment vertical="center"/>
    </xf>
    <xf numFmtId="164" fontId="9" fillId="8" borderId="16" xfId="0" applyNumberFormat="1" applyFont="1" applyFill="1" applyBorder="1" applyAlignment="1">
      <alignment vertical="center"/>
    </xf>
    <xf numFmtId="164" fontId="12" fillId="8" borderId="17" xfId="0" applyNumberFormat="1" applyFont="1" applyFill="1" applyBorder="1" applyAlignment="1">
      <alignment vertical="center"/>
    </xf>
    <xf numFmtId="49" fontId="1" fillId="7" borderId="12" xfId="0" applyNumberFormat="1" applyFont="1" applyFill="1" applyBorder="1" applyAlignment="1">
      <alignment vertical="center"/>
    </xf>
    <xf numFmtId="1" fontId="1" fillId="7" borderId="13" xfId="0" applyNumberFormat="1" applyFont="1" applyFill="1" applyBorder="1" applyAlignment="1">
      <alignment vertical="center"/>
    </xf>
    <xf numFmtId="164" fontId="0" fillId="7" borderId="13" xfId="0" applyNumberFormat="1" applyFont="1" applyFill="1" applyBorder="1" applyAlignment="1">
      <alignment vertical="center"/>
    </xf>
    <xf numFmtId="164" fontId="0" fillId="7" borderId="14" xfId="0" applyNumberFormat="1" applyFont="1" applyFill="1" applyBorder="1" applyAlignment="1">
      <alignment vertical="center"/>
    </xf>
    <xf numFmtId="0" fontId="0" fillId="4" borderId="24" xfId="0" applyFont="1" applyFill="1" applyBorder="1" applyAlignment="1"/>
    <xf numFmtId="0" fontId="0" fillId="9" borderId="23" xfId="0" applyFont="1" applyFill="1" applyBorder="1" applyAlignment="1">
      <alignment horizontal="center" vertical="center" wrapText="1"/>
    </xf>
    <xf numFmtId="164" fontId="1" fillId="7" borderId="17" xfId="0" applyNumberFormat="1" applyFont="1" applyFill="1" applyBorder="1" applyAlignment="1">
      <alignment vertical="center"/>
    </xf>
    <xf numFmtId="49" fontId="1" fillId="4" borderId="15" xfId="0" applyNumberFormat="1" applyFont="1" applyFill="1" applyBorder="1" applyAlignment="1">
      <alignment vertical="center"/>
    </xf>
    <xf numFmtId="0" fontId="0" fillId="4" borderId="25" xfId="0" applyFont="1" applyFill="1" applyBorder="1" applyAlignment="1">
      <alignment vertical="center"/>
    </xf>
    <xf numFmtId="164" fontId="0" fillId="7" borderId="16" xfId="0" applyNumberFormat="1" applyFont="1" applyFill="1" applyBorder="1" applyAlignment="1">
      <alignment vertical="center"/>
    </xf>
    <xf numFmtId="0" fontId="1" fillId="8" borderId="18" xfId="0" applyFont="1" applyFill="1" applyBorder="1" applyAlignment="1">
      <alignment vertical="center"/>
    </xf>
    <xf numFmtId="1" fontId="1" fillId="8" borderId="19" xfId="0" applyNumberFormat="1" applyFont="1" applyFill="1" applyBorder="1" applyAlignment="1">
      <alignment vertical="center"/>
    </xf>
    <xf numFmtId="164" fontId="1" fillId="8" borderId="19" xfId="0" applyNumberFormat="1" applyFont="1" applyFill="1" applyBorder="1" applyAlignment="1">
      <alignment vertical="center"/>
    </xf>
    <xf numFmtId="164" fontId="9" fillId="8" borderId="19" xfId="0" applyNumberFormat="1" applyFont="1" applyFill="1" applyBorder="1" applyAlignment="1">
      <alignment vertical="center"/>
    </xf>
    <xf numFmtId="164" fontId="12" fillId="8" borderId="20" xfId="0" applyNumberFormat="1" applyFont="1" applyFill="1" applyBorder="1" applyAlignment="1">
      <alignment vertical="center"/>
    </xf>
    <xf numFmtId="49" fontId="1" fillId="7" borderId="18" xfId="0" applyNumberFormat="1" applyFont="1" applyFill="1" applyBorder="1" applyAlignment="1">
      <alignment vertical="center"/>
    </xf>
    <xf numFmtId="164" fontId="1" fillId="7" borderId="19" xfId="0" applyNumberFormat="1" applyFont="1" applyFill="1" applyBorder="1" applyAlignment="1">
      <alignment vertical="center"/>
    </xf>
    <xf numFmtId="1" fontId="1" fillId="7" borderId="19" xfId="0" applyNumberFormat="1" applyFont="1" applyFill="1" applyBorder="1" applyAlignment="1">
      <alignment vertical="center"/>
    </xf>
    <xf numFmtId="164" fontId="1" fillId="7" borderId="20" xfId="0" applyNumberFormat="1" applyFont="1" applyFill="1" applyBorder="1" applyAlignment="1">
      <alignment vertical="center"/>
    </xf>
    <xf numFmtId="49" fontId="1" fillId="4" borderId="21" xfId="0" applyNumberFormat="1" applyFont="1" applyFill="1" applyBorder="1" applyAlignment="1">
      <alignment vertical="center"/>
    </xf>
    <xf numFmtId="0" fontId="0" fillId="4" borderId="21" xfId="0" applyFont="1" applyFill="1" applyBorder="1" applyAlignment="1"/>
    <xf numFmtId="0" fontId="0" fillId="4" borderId="26" xfId="0" applyFont="1" applyFill="1" applyBorder="1" applyAlignment="1"/>
    <xf numFmtId="164" fontId="9" fillId="6" borderId="17" xfId="0" applyNumberFormat="1" applyFont="1" applyFill="1" applyBorder="1" applyAlignment="1">
      <alignment vertical="center"/>
    </xf>
    <xf numFmtId="0" fontId="14" fillId="4" borderId="11" xfId="0" applyFont="1" applyFill="1" applyBorder="1" applyAlignment="1">
      <alignment vertical="center" wrapText="1"/>
    </xf>
    <xf numFmtId="0" fontId="0" fillId="4" borderId="1" xfId="0" applyFont="1" applyFill="1" applyBorder="1" applyAlignment="1"/>
    <xf numFmtId="49" fontId="9" fillId="4" borderId="27" xfId="0" applyNumberFormat="1" applyFont="1" applyFill="1" applyBorder="1" applyAlignment="1"/>
    <xf numFmtId="0" fontId="0" fillId="4" borderId="27" xfId="0" applyFont="1" applyFill="1" applyBorder="1" applyAlignment="1"/>
    <xf numFmtId="0" fontId="0" fillId="4" borderId="28" xfId="0" applyFont="1" applyFill="1" applyBorder="1" applyAlignment="1">
      <alignment vertical="center"/>
    </xf>
    <xf numFmtId="49" fontId="9" fillId="4" borderId="29" xfId="0" applyNumberFormat="1" applyFont="1" applyFill="1" applyBorder="1" applyAlignment="1">
      <alignment horizontal="center"/>
    </xf>
    <xf numFmtId="49" fontId="9" fillId="4" borderId="30" xfId="0" applyNumberFormat="1" applyFont="1" applyFill="1" applyBorder="1" applyAlignment="1">
      <alignment horizontal="center"/>
    </xf>
    <xf numFmtId="49" fontId="9" fillId="4" borderId="31" xfId="0" applyNumberFormat="1" applyFont="1" applyFill="1" applyBorder="1" applyAlignment="1">
      <alignment horizontal="center"/>
    </xf>
    <xf numFmtId="0" fontId="0" fillId="4" borderId="32" xfId="0" applyFont="1" applyFill="1" applyBorder="1" applyAlignment="1">
      <alignment vertical="center"/>
    </xf>
    <xf numFmtId="49" fontId="0" fillId="6" borderId="15" xfId="0" applyNumberFormat="1" applyFont="1" applyFill="1" applyBorder="1" applyAlignment="1">
      <alignment vertical="center"/>
    </xf>
    <xf numFmtId="49" fontId="0" fillId="10" borderId="12" xfId="0" applyNumberFormat="1" applyFont="1" applyFill="1" applyBorder="1" applyAlignment="1">
      <alignment vertical="center"/>
    </xf>
    <xf numFmtId="1" fontId="0" fillId="10" borderId="13" xfId="0" applyNumberFormat="1" applyFont="1" applyFill="1" applyBorder="1" applyAlignment="1">
      <alignment vertical="center"/>
    </xf>
    <xf numFmtId="164" fontId="0" fillId="10" borderId="13" xfId="0" applyNumberFormat="1" applyFont="1" applyFill="1" applyBorder="1" applyAlignment="1">
      <alignment vertical="center"/>
    </xf>
    <xf numFmtId="164" fontId="15" fillId="10" borderId="14" xfId="0" applyNumberFormat="1" applyFont="1" applyFill="1" applyBorder="1" applyAlignment="1">
      <alignment vertical="center"/>
    </xf>
    <xf numFmtId="0" fontId="1" fillId="4" borderId="33" xfId="0" applyFont="1" applyFill="1" applyBorder="1" applyAlignment="1">
      <alignment horizontal="center"/>
    </xf>
    <xf numFmtId="164" fontId="1" fillId="4" borderId="27" xfId="0" applyNumberFormat="1" applyFont="1" applyFill="1" applyBorder="1" applyAlignment="1">
      <alignment horizontal="center"/>
    </xf>
    <xf numFmtId="0" fontId="0" fillId="10" borderId="15" xfId="0" applyFont="1" applyFill="1" applyBorder="1" applyAlignment="1">
      <alignment vertical="center"/>
    </xf>
    <xf numFmtId="1" fontId="0" fillId="10" borderId="16" xfId="0" applyNumberFormat="1" applyFont="1" applyFill="1" applyBorder="1" applyAlignment="1">
      <alignment vertical="center"/>
    </xf>
    <xf numFmtId="164" fontId="0" fillId="10" borderId="16" xfId="0" applyNumberFormat="1" applyFont="1" applyFill="1" applyBorder="1" applyAlignment="1">
      <alignment vertical="center"/>
    </xf>
    <xf numFmtId="164" fontId="16" fillId="10" borderId="17" xfId="0" applyNumberFormat="1" applyFont="1" applyFill="1" applyBorder="1" applyAlignment="1">
      <alignment vertical="center"/>
    </xf>
    <xf numFmtId="0" fontId="0" fillId="4" borderId="30" xfId="0" applyFont="1" applyFill="1" applyBorder="1" applyAlignment="1">
      <alignment vertical="center"/>
    </xf>
    <xf numFmtId="49" fontId="1" fillId="10" borderId="15" xfId="0" applyNumberFormat="1" applyFont="1" applyFill="1" applyBorder="1" applyAlignment="1">
      <alignment vertical="center"/>
    </xf>
    <xf numFmtId="164" fontId="1" fillId="10" borderId="16" xfId="0" applyNumberFormat="1" applyFont="1" applyFill="1" applyBorder="1" applyAlignment="1">
      <alignment vertical="center"/>
    </xf>
    <xf numFmtId="164" fontId="1" fillId="10" borderId="17" xfId="0" applyNumberFormat="1" applyFont="1" applyFill="1" applyBorder="1" applyAlignment="1">
      <alignment vertical="center"/>
    </xf>
    <xf numFmtId="0" fontId="0" fillId="4" borderId="23" xfId="0" applyFont="1" applyFill="1" applyBorder="1" applyAlignment="1">
      <alignment vertical="center"/>
    </xf>
    <xf numFmtId="164" fontId="0" fillId="10" borderId="20" xfId="0" applyNumberFormat="1" applyFont="1" applyFill="1" applyBorder="1" applyAlignment="1">
      <alignment vertical="center"/>
    </xf>
    <xf numFmtId="49" fontId="1" fillId="10" borderId="34" xfId="0" applyNumberFormat="1" applyFont="1" applyFill="1" applyBorder="1" applyAlignment="1">
      <alignment vertical="center"/>
    </xf>
    <xf numFmtId="1" fontId="0" fillId="10" borderId="35" xfId="0" applyNumberFormat="1" applyFont="1" applyFill="1" applyBorder="1" applyAlignment="1">
      <alignment vertical="center"/>
    </xf>
    <xf numFmtId="164" fontId="1" fillId="10" borderId="35" xfId="0" applyNumberFormat="1" applyFont="1" applyFill="1" applyBorder="1" applyAlignment="1">
      <alignment vertical="center"/>
    </xf>
    <xf numFmtId="164" fontId="1" fillId="10" borderId="36" xfId="0" applyNumberFormat="1" applyFont="1" applyFill="1" applyBorder="1" applyAlignment="1">
      <alignment vertical="center"/>
    </xf>
    <xf numFmtId="0" fontId="0" fillId="4" borderId="1" xfId="0" applyFont="1" applyFill="1" applyBorder="1" applyAlignment="1">
      <alignment horizontal="left" vertical="center"/>
    </xf>
    <xf numFmtId="49" fontId="0" fillId="10" borderId="15" xfId="0" applyNumberFormat="1" applyFont="1" applyFill="1" applyBorder="1" applyAlignment="1">
      <alignment vertical="center"/>
    </xf>
    <xf numFmtId="49" fontId="1" fillId="10" borderId="37" xfId="0" applyNumberFormat="1" applyFont="1" applyFill="1" applyBorder="1" applyAlignment="1">
      <alignment vertical="center"/>
    </xf>
    <xf numFmtId="1" fontId="0" fillId="10" borderId="38" xfId="0" applyNumberFormat="1" applyFont="1" applyFill="1" applyBorder="1" applyAlignment="1">
      <alignment vertical="center"/>
    </xf>
    <xf numFmtId="164" fontId="1" fillId="10" borderId="38" xfId="0" applyNumberFormat="1" applyFont="1" applyFill="1" applyBorder="1" applyAlignment="1">
      <alignment vertical="center"/>
    </xf>
    <xf numFmtId="164" fontId="1" fillId="10" borderId="39" xfId="0" applyNumberFormat="1" applyFont="1" applyFill="1" applyBorder="1" applyAlignment="1">
      <alignment vertical="center"/>
    </xf>
    <xf numFmtId="1" fontId="1" fillId="10" borderId="16" xfId="0" applyNumberFormat="1" applyFont="1" applyFill="1" applyBorder="1" applyAlignment="1">
      <alignment vertical="center"/>
    </xf>
    <xf numFmtId="49" fontId="1" fillId="10" borderId="15" xfId="0" applyNumberFormat="1" applyFont="1" applyFill="1" applyBorder="1" applyAlignment="1">
      <alignment horizontal="left" vertical="center"/>
    </xf>
    <xf numFmtId="164" fontId="0" fillId="10" borderId="17" xfId="0" applyNumberFormat="1" applyFont="1" applyFill="1" applyBorder="1" applyAlignment="1">
      <alignment vertical="center"/>
    </xf>
    <xf numFmtId="49" fontId="1" fillId="10" borderId="40" xfId="0" applyNumberFormat="1" applyFont="1" applyFill="1" applyBorder="1" applyAlignment="1">
      <alignment vertical="center"/>
    </xf>
    <xf numFmtId="1" fontId="0" fillId="10" borderId="41" xfId="0" applyNumberFormat="1" applyFont="1" applyFill="1" applyBorder="1" applyAlignment="1">
      <alignment vertical="center"/>
    </xf>
    <xf numFmtId="164" fontId="1" fillId="10" borderId="41" xfId="0" applyNumberFormat="1" applyFont="1" applyFill="1" applyBorder="1" applyAlignment="1">
      <alignment vertical="center"/>
    </xf>
    <xf numFmtId="164" fontId="0" fillId="10" borderId="41" xfId="0" applyNumberFormat="1" applyFont="1" applyFill="1" applyBorder="1" applyAlignment="1">
      <alignment vertical="center"/>
    </xf>
    <xf numFmtId="164" fontId="0" fillId="10" borderId="42" xfId="0" applyNumberFormat="1" applyFont="1" applyFill="1" applyBorder="1" applyAlignment="1">
      <alignment vertical="center"/>
    </xf>
    <xf numFmtId="164" fontId="12" fillId="10" borderId="17" xfId="0" applyNumberFormat="1" applyFont="1" applyFill="1" applyBorder="1" applyAlignment="1">
      <alignment vertical="center"/>
    </xf>
    <xf numFmtId="1" fontId="1" fillId="10" borderId="35" xfId="0" applyNumberFormat="1" applyFont="1" applyFill="1" applyBorder="1" applyAlignment="1">
      <alignment vertical="center"/>
    </xf>
    <xf numFmtId="164" fontId="0" fillId="10" borderId="35" xfId="0" applyNumberFormat="1" applyFont="1" applyFill="1" applyBorder="1" applyAlignment="1">
      <alignment vertical="center"/>
    </xf>
    <xf numFmtId="164" fontId="12" fillId="10" borderId="36" xfId="0" applyNumberFormat="1" applyFont="1" applyFill="1" applyBorder="1" applyAlignment="1">
      <alignment vertical="center"/>
    </xf>
    <xf numFmtId="164" fontId="0" fillId="10" borderId="38" xfId="0" applyNumberFormat="1" applyFont="1" applyFill="1" applyBorder="1" applyAlignment="1">
      <alignment vertical="center"/>
    </xf>
    <xf numFmtId="164" fontId="12" fillId="10" borderId="39" xfId="0" applyNumberFormat="1" applyFont="1" applyFill="1" applyBorder="1" applyAlignment="1">
      <alignment vertical="center"/>
    </xf>
    <xf numFmtId="49" fontId="1" fillId="10" borderId="18" xfId="0" applyNumberFormat="1" applyFont="1" applyFill="1" applyBorder="1" applyAlignment="1">
      <alignment vertical="center"/>
    </xf>
    <xf numFmtId="1" fontId="1" fillId="10" borderId="19" xfId="0" applyNumberFormat="1" applyFont="1" applyFill="1" applyBorder="1" applyAlignment="1">
      <alignment vertical="center"/>
    </xf>
    <xf numFmtId="164" fontId="1" fillId="10" borderId="19" xfId="0" applyNumberFormat="1" applyFont="1" applyFill="1" applyBorder="1" applyAlignment="1">
      <alignment vertical="center"/>
    </xf>
    <xf numFmtId="164" fontId="9" fillId="10" borderId="19" xfId="0" applyNumberFormat="1" applyFont="1" applyFill="1" applyBorder="1" applyAlignment="1">
      <alignment vertical="center"/>
    </xf>
    <xf numFmtId="164" fontId="12" fillId="10" borderId="20" xfId="0" applyNumberFormat="1" applyFont="1" applyFill="1" applyBorder="1" applyAlignment="1">
      <alignment vertical="center"/>
    </xf>
    <xf numFmtId="1" fontId="1" fillId="10" borderId="41" xfId="0" applyNumberFormat="1" applyFont="1" applyFill="1" applyBorder="1" applyAlignment="1">
      <alignment vertical="center"/>
    </xf>
    <xf numFmtId="164" fontId="12" fillId="10" borderId="42" xfId="0" applyNumberFormat="1" applyFont="1" applyFill="1" applyBorder="1" applyAlignment="1">
      <alignment vertical="center"/>
    </xf>
    <xf numFmtId="164" fontId="17" fillId="10" borderId="17" xfId="0" applyNumberFormat="1" applyFont="1" applyFill="1" applyBorder="1" applyAlignment="1">
      <alignment vertical="center"/>
    </xf>
    <xf numFmtId="164" fontId="18" fillId="10" borderId="16" xfId="0" applyNumberFormat="1" applyFont="1" applyFill="1" applyBorder="1" applyAlignment="1">
      <alignment vertical="center"/>
    </xf>
    <xf numFmtId="164" fontId="19" fillId="10" borderId="17" xfId="0" applyNumberFormat="1" applyFont="1" applyFill="1" applyBorder="1" applyAlignment="1">
      <alignment vertical="center"/>
    </xf>
    <xf numFmtId="1" fontId="0" fillId="4" borderId="1" xfId="0" applyNumberFormat="1" applyFont="1" applyFill="1" applyBorder="1" applyAlignment="1">
      <alignment vertical="center"/>
    </xf>
    <xf numFmtId="164" fontId="20" fillId="4" borderId="1" xfId="0" applyNumberFormat="1" applyFont="1" applyFill="1" applyBorder="1" applyAlignment="1">
      <alignment vertical="center"/>
    </xf>
    <xf numFmtId="0" fontId="2" fillId="4" borderId="28" xfId="0" applyFont="1" applyFill="1" applyBorder="1" applyAlignment="1">
      <alignment vertical="center"/>
    </xf>
    <xf numFmtId="164" fontId="9" fillId="4" borderId="32" xfId="0" applyNumberFormat="1" applyFont="1" applyFill="1" applyBorder="1" applyAlignment="1">
      <alignment horizontal="center"/>
    </xf>
    <xf numFmtId="0" fontId="0" fillId="9" borderId="23" xfId="0" applyFont="1" applyFill="1" applyBorder="1" applyAlignment="1">
      <alignment vertical="center"/>
    </xf>
    <xf numFmtId="164" fontId="9" fillId="10" borderId="16" xfId="0" applyNumberFormat="1" applyFont="1" applyFill="1" applyBorder="1" applyAlignment="1">
      <alignment vertical="center"/>
    </xf>
    <xf numFmtId="164" fontId="9" fillId="10" borderId="17" xfId="0" applyNumberFormat="1" applyFont="1" applyFill="1" applyBorder="1" applyAlignment="1">
      <alignment vertical="center"/>
    </xf>
    <xf numFmtId="164" fontId="1" fillId="4" borderId="43" xfId="0" applyNumberFormat="1" applyFont="1" applyFill="1" applyBorder="1" applyAlignment="1">
      <alignment horizontal="center"/>
    </xf>
    <xf numFmtId="164" fontId="1" fillId="4" borderId="32" xfId="0" applyNumberFormat="1" applyFont="1" applyFill="1" applyBorder="1" applyAlignment="1"/>
    <xf numFmtId="164" fontId="1" fillId="10" borderId="16" xfId="0" applyNumberFormat="1" applyFont="1" applyFill="1" applyBorder="1" applyAlignment="1">
      <alignment horizontal="right" vertical="center"/>
    </xf>
    <xf numFmtId="0" fontId="21" fillId="4" borderId="11" xfId="0" applyFont="1" applyFill="1" applyBorder="1" applyAlignment="1">
      <alignment vertical="center"/>
    </xf>
    <xf numFmtId="0" fontId="22" fillId="4" borderId="11" xfId="0" applyFont="1" applyFill="1" applyBorder="1" applyAlignment="1">
      <alignment vertical="center"/>
    </xf>
    <xf numFmtId="0" fontId="0" fillId="4" borderId="44" xfId="0" applyFont="1" applyFill="1" applyBorder="1" applyAlignment="1"/>
    <xf numFmtId="0" fontId="0" fillId="11" borderId="15" xfId="0" applyFont="1" applyFill="1" applyBorder="1" applyAlignment="1">
      <alignment vertical="center"/>
    </xf>
    <xf numFmtId="1" fontId="0" fillId="11" borderId="16" xfId="0" applyNumberFormat="1" applyFont="1" applyFill="1" applyBorder="1" applyAlignment="1">
      <alignment vertical="center"/>
    </xf>
    <xf numFmtId="164" fontId="0" fillId="11" borderId="16" xfId="0" applyNumberFormat="1" applyFont="1" applyFill="1" applyBorder="1" applyAlignment="1">
      <alignment vertical="center"/>
    </xf>
    <xf numFmtId="164" fontId="0" fillId="11" borderId="17" xfId="0" applyNumberFormat="1" applyFont="1" applyFill="1" applyBorder="1" applyAlignment="1">
      <alignment vertical="center"/>
    </xf>
    <xf numFmtId="49" fontId="1" fillId="11" borderId="15" xfId="0" applyNumberFormat="1" applyFont="1" applyFill="1" applyBorder="1" applyAlignment="1">
      <alignment vertical="center"/>
    </xf>
    <xf numFmtId="1" fontId="1" fillId="11" borderId="16" xfId="0" applyNumberFormat="1" applyFont="1" applyFill="1" applyBorder="1" applyAlignment="1">
      <alignment vertical="center"/>
    </xf>
    <xf numFmtId="164" fontId="1" fillId="11" borderId="16" xfId="0" applyNumberFormat="1" applyFont="1" applyFill="1" applyBorder="1" applyAlignment="1">
      <alignment vertical="center"/>
    </xf>
    <xf numFmtId="164" fontId="9" fillId="11" borderId="16" xfId="0" applyNumberFormat="1" applyFont="1" applyFill="1" applyBorder="1" applyAlignment="1">
      <alignment vertical="center"/>
    </xf>
    <xf numFmtId="164" fontId="12" fillId="11" borderId="17" xfId="0" applyNumberFormat="1" applyFont="1" applyFill="1" applyBorder="1" applyAlignment="1">
      <alignment vertical="center"/>
    </xf>
    <xf numFmtId="49" fontId="1" fillId="11" borderId="18" xfId="0" applyNumberFormat="1" applyFont="1" applyFill="1" applyBorder="1" applyAlignment="1">
      <alignment vertical="center"/>
    </xf>
    <xf numFmtId="1" fontId="0" fillId="11" borderId="19" xfId="0" applyNumberFormat="1" applyFont="1" applyFill="1" applyBorder="1" applyAlignment="1">
      <alignment vertical="center"/>
    </xf>
    <xf numFmtId="164" fontId="0" fillId="11" borderId="19" xfId="0" applyNumberFormat="1" applyFont="1" applyFill="1" applyBorder="1" applyAlignment="1">
      <alignment vertical="center"/>
    </xf>
    <xf numFmtId="164" fontId="9" fillId="11" borderId="20" xfId="0" applyNumberFormat="1" applyFont="1" applyFill="1" applyBorder="1" applyAlignment="1">
      <alignment vertical="center"/>
    </xf>
    <xf numFmtId="164" fontId="2" fillId="4" borderId="1" xfId="0" applyNumberFormat="1" applyFont="1" applyFill="1" applyBorder="1" applyAlignment="1">
      <alignment vertical="center"/>
    </xf>
    <xf numFmtId="49" fontId="1" fillId="4" borderId="7" xfId="0" applyNumberFormat="1" applyFont="1" applyFill="1" applyBorder="1" applyAlignment="1">
      <alignment vertical="center"/>
    </xf>
    <xf numFmtId="49" fontId="0" fillId="12" borderId="15" xfId="0" applyNumberFormat="1" applyFont="1" applyFill="1" applyBorder="1" applyAlignment="1">
      <alignment vertical="center"/>
    </xf>
    <xf numFmtId="1" fontId="0" fillId="12" borderId="16" xfId="0" applyNumberFormat="1" applyFont="1" applyFill="1" applyBorder="1" applyAlignment="1">
      <alignment vertical="center"/>
    </xf>
    <xf numFmtId="164" fontId="0" fillId="12" borderId="16" xfId="0" applyNumberFormat="1" applyFont="1" applyFill="1" applyBorder="1" applyAlignment="1">
      <alignment vertical="center"/>
    </xf>
    <xf numFmtId="164" fontId="1" fillId="12" borderId="16" xfId="0" applyNumberFormat="1" applyFont="1" applyFill="1" applyBorder="1" applyAlignment="1">
      <alignment vertical="center"/>
    </xf>
    <xf numFmtId="164" fontId="1" fillId="12" borderId="17" xfId="0" applyNumberFormat="1" applyFont="1" applyFill="1" applyBorder="1" applyAlignment="1">
      <alignment vertical="center"/>
    </xf>
    <xf numFmtId="49" fontId="1" fillId="12" borderId="15" xfId="0" applyNumberFormat="1" applyFont="1" applyFill="1" applyBorder="1" applyAlignment="1">
      <alignment vertical="center"/>
    </xf>
    <xf numFmtId="1" fontId="9" fillId="12" borderId="16" xfId="0" applyNumberFormat="1" applyFont="1" applyFill="1" applyBorder="1" applyAlignment="1">
      <alignment vertical="center"/>
    </xf>
    <xf numFmtId="164" fontId="9" fillId="12" borderId="16" xfId="0" applyNumberFormat="1" applyFont="1" applyFill="1" applyBorder="1" applyAlignment="1">
      <alignment vertical="center"/>
    </xf>
    <xf numFmtId="49" fontId="1" fillId="4" borderId="45" xfId="0" applyNumberFormat="1" applyFont="1" applyFill="1" applyBorder="1" applyAlignment="1">
      <alignment vertical="center"/>
    </xf>
    <xf numFmtId="49" fontId="0" fillId="13" borderId="15" xfId="0" applyNumberFormat="1" applyFont="1" applyFill="1" applyBorder="1" applyAlignment="1">
      <alignment vertical="center"/>
    </xf>
    <xf numFmtId="1" fontId="0" fillId="13" borderId="16" xfId="0" applyNumberFormat="1" applyFont="1" applyFill="1" applyBorder="1" applyAlignment="1">
      <alignment vertical="center"/>
    </xf>
    <xf numFmtId="164" fontId="0" fillId="13" borderId="16" xfId="0" applyNumberFormat="1" applyFont="1" applyFill="1" applyBorder="1" applyAlignment="1">
      <alignment vertical="center"/>
    </xf>
    <xf numFmtId="164" fontId="1" fillId="13" borderId="16" xfId="0" applyNumberFormat="1" applyFont="1" applyFill="1" applyBorder="1" applyAlignment="1">
      <alignment vertical="center"/>
    </xf>
    <xf numFmtId="164" fontId="1" fillId="13" borderId="17" xfId="0" applyNumberFormat="1" applyFont="1" applyFill="1" applyBorder="1" applyAlignment="1">
      <alignment vertical="center"/>
    </xf>
    <xf numFmtId="0" fontId="0" fillId="4" borderId="46" xfId="0" applyFont="1" applyFill="1" applyBorder="1" applyAlignment="1">
      <alignment vertical="center"/>
    </xf>
    <xf numFmtId="0" fontId="0" fillId="4" borderId="47" xfId="0" applyFont="1" applyFill="1" applyBorder="1" applyAlignment="1">
      <alignment vertical="center"/>
    </xf>
    <xf numFmtId="0" fontId="0" fillId="4" borderId="48" xfId="0" applyFont="1" applyFill="1" applyBorder="1" applyAlignment="1">
      <alignment vertical="center"/>
    </xf>
    <xf numFmtId="0" fontId="1" fillId="4" borderId="49" xfId="0" applyFont="1" applyFill="1" applyBorder="1" applyAlignment="1">
      <alignment vertical="center"/>
    </xf>
    <xf numFmtId="1" fontId="5" fillId="13" borderId="16" xfId="0" applyNumberFormat="1" applyFont="1" applyFill="1" applyBorder="1" applyAlignment="1">
      <alignment vertical="center"/>
    </xf>
    <xf numFmtId="164" fontId="5" fillId="13" borderId="16" xfId="0" applyNumberFormat="1" applyFont="1" applyFill="1" applyBorder="1" applyAlignment="1">
      <alignment vertical="center"/>
    </xf>
    <xf numFmtId="164" fontId="9" fillId="13" borderId="16" xfId="0" applyNumberFormat="1" applyFont="1" applyFill="1" applyBorder="1" applyAlignment="1">
      <alignment vertical="center"/>
    </xf>
    <xf numFmtId="49" fontId="23" fillId="4" borderId="11" xfId="0" applyNumberFormat="1" applyFont="1" applyFill="1" applyBorder="1" applyAlignment="1">
      <alignment vertical="center" readingOrder="1"/>
    </xf>
    <xf numFmtId="0" fontId="0" fillId="0" borderId="0" xfId="0" applyNumberFormat="1" applyFont="1" applyAlignment="1"/>
    <xf numFmtId="49" fontId="24" fillId="0" borderId="2" xfId="0" applyNumberFormat="1" applyFont="1" applyBorder="1" applyAlignment="1"/>
    <xf numFmtId="0" fontId="0" fillId="4" borderId="2" xfId="0" applyFont="1" applyFill="1" applyBorder="1" applyAlignment="1"/>
    <xf numFmtId="0" fontId="0" fillId="0" borderId="3" xfId="0" applyFont="1" applyBorder="1" applyAlignment="1"/>
    <xf numFmtId="0" fontId="5" fillId="0" borderId="4" xfId="0" applyFont="1" applyBorder="1" applyAlignment="1"/>
    <xf numFmtId="49" fontId="5" fillId="4" borderId="5" xfId="0" applyNumberFormat="1" applyFont="1" applyFill="1" applyBorder="1" applyAlignment="1">
      <alignment horizontal="center"/>
    </xf>
    <xf numFmtId="49" fontId="5" fillId="4" borderId="5" xfId="0" applyNumberFormat="1" applyFont="1" applyFill="1" applyBorder="1" applyAlignment="1">
      <alignment horizontal="right"/>
    </xf>
    <xf numFmtId="49" fontId="5" fillId="4" borderId="6" xfId="0" applyNumberFormat="1" applyFont="1" applyFill="1" applyBorder="1" applyAlignment="1">
      <alignment horizontal="right"/>
    </xf>
    <xf numFmtId="0" fontId="0" fillId="0" borderId="11" xfId="0" applyFont="1" applyBorder="1" applyAlignment="1"/>
    <xf numFmtId="49" fontId="1" fillId="8" borderId="12" xfId="0" applyNumberFormat="1" applyFont="1" applyFill="1" applyBorder="1" applyAlignment="1"/>
    <xf numFmtId="1" fontId="1" fillId="14" borderId="13" xfId="0" applyNumberFormat="1" applyFont="1" applyFill="1" applyBorder="1" applyAlignment="1"/>
    <xf numFmtId="164" fontId="1" fillId="8" borderId="13" xfId="0" applyNumberFormat="1" applyFont="1" applyFill="1" applyBorder="1" applyAlignment="1"/>
    <xf numFmtId="164" fontId="1" fillId="8" borderId="14" xfId="0" applyNumberFormat="1" applyFont="1" applyFill="1" applyBorder="1" applyAlignment="1"/>
    <xf numFmtId="49" fontId="0" fillId="0" borderId="11" xfId="0" applyNumberFormat="1" applyFont="1" applyBorder="1" applyAlignment="1"/>
    <xf numFmtId="49" fontId="24" fillId="4" borderId="2" xfId="0" applyNumberFormat="1" applyFont="1" applyFill="1" applyBorder="1" applyAlignment="1">
      <alignment vertical="center"/>
    </xf>
    <xf numFmtId="1" fontId="24" fillId="4" borderId="2" xfId="0" applyNumberFormat="1" applyFont="1" applyFill="1" applyBorder="1" applyAlignment="1">
      <alignment vertical="center"/>
    </xf>
    <xf numFmtId="164" fontId="0" fillId="4" borderId="2" xfId="0" applyNumberFormat="1" applyFont="1" applyFill="1" applyBorder="1" applyAlignment="1">
      <alignment vertical="center"/>
    </xf>
    <xf numFmtId="49" fontId="1" fillId="8" borderId="15" xfId="0" applyNumberFormat="1" applyFont="1" applyFill="1" applyBorder="1" applyAlignment="1"/>
    <xf numFmtId="1" fontId="1" fillId="14" borderId="16" xfId="0" applyNumberFormat="1" applyFont="1" applyFill="1" applyBorder="1" applyAlignment="1"/>
    <xf numFmtId="164" fontId="1" fillId="8" borderId="16" xfId="0" applyNumberFormat="1" applyFont="1" applyFill="1" applyBorder="1" applyAlignment="1"/>
    <xf numFmtId="164" fontId="1" fillId="8" borderId="17" xfId="0" applyNumberFormat="1" applyFont="1" applyFill="1" applyBorder="1" applyAlignment="1"/>
    <xf numFmtId="164" fontId="0" fillId="0" borderId="1" xfId="0" applyNumberFormat="1" applyFont="1" applyBorder="1" applyAlignment="1">
      <alignment horizontal="left"/>
    </xf>
    <xf numFmtId="49" fontId="0" fillId="10" borderId="12" xfId="0" applyNumberFormat="1" applyFont="1" applyFill="1" applyBorder="1" applyAlignment="1"/>
    <xf numFmtId="164" fontId="0" fillId="10" borderId="14" xfId="0" applyNumberFormat="1" applyFont="1" applyFill="1" applyBorder="1" applyAlignment="1">
      <alignment vertical="center"/>
    </xf>
    <xf numFmtId="49" fontId="0" fillId="10" borderId="15" xfId="0" applyNumberFormat="1" applyFont="1" applyFill="1" applyBorder="1" applyAlignment="1"/>
    <xf numFmtId="49" fontId="5" fillId="0" borderId="5" xfId="0" applyNumberFormat="1" applyFont="1" applyBorder="1" applyAlignment="1">
      <alignment horizontal="right"/>
    </xf>
    <xf numFmtId="49" fontId="5" fillId="0" borderId="6" xfId="0" applyNumberFormat="1" applyFont="1" applyBorder="1" applyAlignment="1">
      <alignment horizontal="right"/>
    </xf>
    <xf numFmtId="164" fontId="5" fillId="10" borderId="16" xfId="0" applyNumberFormat="1" applyFont="1" applyFill="1" applyBorder="1" applyAlignment="1">
      <alignment vertical="center"/>
    </xf>
    <xf numFmtId="49" fontId="1" fillId="10" borderId="12" xfId="0" applyNumberFormat="1" applyFont="1" applyFill="1" applyBorder="1" applyAlignment="1">
      <alignment vertical="center"/>
    </xf>
    <xf numFmtId="1" fontId="1" fillId="10" borderId="13" xfId="0" applyNumberFormat="1" applyFont="1" applyFill="1" applyBorder="1" applyAlignment="1">
      <alignment vertical="center"/>
    </xf>
    <xf numFmtId="164" fontId="1" fillId="10" borderId="13" xfId="0" applyNumberFormat="1" applyFont="1" applyFill="1" applyBorder="1" applyAlignment="1">
      <alignment vertical="center"/>
    </xf>
    <xf numFmtId="164" fontId="1" fillId="10" borderId="14" xfId="0" applyNumberFormat="1" applyFont="1" applyFill="1" applyBorder="1" applyAlignment="1">
      <alignment vertical="center"/>
    </xf>
    <xf numFmtId="164" fontId="5" fillId="10" borderId="17" xfId="0" applyNumberFormat="1" applyFont="1" applyFill="1" applyBorder="1" applyAlignment="1">
      <alignment vertical="center"/>
    </xf>
    <xf numFmtId="1" fontId="0" fillId="10" borderId="16" xfId="0" applyNumberFormat="1" applyFont="1" applyFill="1" applyBorder="1" applyAlignment="1"/>
    <xf numFmtId="164" fontId="0" fillId="10" borderId="16" xfId="0" applyNumberFormat="1" applyFont="1" applyFill="1" applyBorder="1" applyAlignment="1"/>
    <xf numFmtId="164" fontId="0" fillId="10" borderId="17" xfId="0" applyNumberFormat="1" applyFont="1" applyFill="1" applyBorder="1" applyAlignment="1"/>
    <xf numFmtId="164" fontId="1" fillId="15" borderId="16" xfId="0" applyNumberFormat="1" applyFont="1" applyFill="1" applyBorder="1" applyAlignment="1">
      <alignment vertical="center"/>
    </xf>
    <xf numFmtId="0" fontId="0" fillId="10" borderId="18" xfId="0" applyFont="1" applyFill="1" applyBorder="1" applyAlignment="1"/>
    <xf numFmtId="1" fontId="0" fillId="10" borderId="19" xfId="0" applyNumberFormat="1" applyFont="1" applyFill="1" applyBorder="1" applyAlignment="1"/>
    <xf numFmtId="164" fontId="0" fillId="10" borderId="19" xfId="0" applyNumberFormat="1" applyFont="1" applyFill="1" applyBorder="1" applyAlignment="1"/>
    <xf numFmtId="164" fontId="5" fillId="10" borderId="20" xfId="0" applyNumberFormat="1" applyFont="1" applyFill="1" applyBorder="1" applyAlignment="1"/>
    <xf numFmtId="164" fontId="9" fillId="8" borderId="16" xfId="0" applyNumberFormat="1" applyFont="1" applyFill="1" applyBorder="1" applyAlignment="1"/>
    <xf numFmtId="0" fontId="0" fillId="0" borderId="21" xfId="0" applyFont="1" applyBorder="1" applyAlignment="1"/>
    <xf numFmtId="0" fontId="5" fillId="0" borderId="12" xfId="0" applyFont="1" applyBorder="1" applyAlignment="1"/>
    <xf numFmtId="49" fontId="5" fillId="4" borderId="13" xfId="0" applyNumberFormat="1" applyFont="1" applyFill="1" applyBorder="1" applyAlignment="1">
      <alignment horizontal="center"/>
    </xf>
    <xf numFmtId="49" fontId="5" fillId="4" borderId="13" xfId="0" applyNumberFormat="1" applyFont="1" applyFill="1" applyBorder="1" applyAlignment="1">
      <alignment horizontal="right"/>
    </xf>
    <xf numFmtId="49" fontId="5" fillId="4" borderId="14" xfId="0" applyNumberFormat="1" applyFont="1" applyFill="1" applyBorder="1" applyAlignment="1">
      <alignment horizontal="right"/>
    </xf>
    <xf numFmtId="49" fontId="0" fillId="8" borderId="15" xfId="0" applyNumberFormat="1" applyFont="1" applyFill="1" applyBorder="1" applyAlignment="1">
      <alignment vertical="center"/>
    </xf>
    <xf numFmtId="1" fontId="0" fillId="8" borderId="16" xfId="0" applyNumberFormat="1" applyFont="1" applyFill="1" applyBorder="1" applyAlignment="1">
      <alignment vertical="center"/>
    </xf>
    <xf numFmtId="164" fontId="0" fillId="8" borderId="16" xfId="0" applyNumberFormat="1" applyFont="1" applyFill="1" applyBorder="1" applyAlignment="1">
      <alignment vertical="center"/>
    </xf>
    <xf numFmtId="164" fontId="5" fillId="8" borderId="17" xfId="0" applyNumberFormat="1" applyFont="1" applyFill="1" applyBorder="1" applyAlignment="1">
      <alignment vertical="center"/>
    </xf>
    <xf numFmtId="0" fontId="1" fillId="10" borderId="15" xfId="0" applyFont="1" applyFill="1" applyBorder="1" applyAlignment="1">
      <alignment vertical="center"/>
    </xf>
    <xf numFmtId="0" fontId="1" fillId="8" borderId="15" xfId="0" applyFont="1" applyFill="1" applyBorder="1" applyAlignment="1"/>
    <xf numFmtId="1" fontId="1" fillId="8" borderId="16" xfId="0" applyNumberFormat="1" applyFont="1" applyFill="1" applyBorder="1" applyAlignment="1"/>
    <xf numFmtId="1" fontId="0" fillId="0" borderId="11" xfId="0" applyNumberFormat="1" applyFont="1" applyBorder="1" applyAlignment="1"/>
    <xf numFmtId="164" fontId="0" fillId="8" borderId="17" xfId="0" applyNumberFormat="1" applyFont="1" applyFill="1" applyBorder="1" applyAlignment="1">
      <alignment vertical="center"/>
    </xf>
    <xf numFmtId="49" fontId="1" fillId="8" borderId="18" xfId="0" applyNumberFormat="1" applyFont="1" applyFill="1" applyBorder="1" applyAlignment="1"/>
    <xf numFmtId="1" fontId="1" fillId="8" borderId="19" xfId="0" applyNumberFormat="1" applyFont="1" applyFill="1" applyBorder="1" applyAlignment="1"/>
    <xf numFmtId="164" fontId="1" fillId="8" borderId="19" xfId="0" applyNumberFormat="1" applyFont="1" applyFill="1" applyBorder="1" applyAlignment="1"/>
    <xf numFmtId="164" fontId="9" fillId="8" borderId="19" xfId="0" applyNumberFormat="1" applyFont="1" applyFill="1" applyBorder="1" applyAlignment="1"/>
    <xf numFmtId="164" fontId="12" fillId="8" borderId="20" xfId="0" applyNumberFormat="1" applyFont="1" applyFill="1" applyBorder="1" applyAlignment="1"/>
    <xf numFmtId="164" fontId="5" fillId="8" borderId="16" xfId="0" applyNumberFormat="1" applyFont="1" applyFill="1" applyBorder="1" applyAlignment="1">
      <alignment vertical="center"/>
    </xf>
    <xf numFmtId="164" fontId="25" fillId="8" borderId="20" xfId="0" applyNumberFormat="1" applyFont="1" applyFill="1" applyBorder="1" applyAlignment="1">
      <alignment vertical="center"/>
    </xf>
    <xf numFmtId="0" fontId="0" fillId="8" borderId="18" xfId="0" applyFont="1" applyFill="1" applyBorder="1" applyAlignment="1">
      <alignment vertical="center"/>
    </xf>
    <xf numFmtId="1" fontId="0" fillId="8" borderId="19" xfId="0" applyNumberFormat="1" applyFont="1" applyFill="1" applyBorder="1" applyAlignment="1">
      <alignment vertical="center"/>
    </xf>
    <xf numFmtId="164" fontId="0" fillId="8" borderId="19" xfId="0" applyNumberFormat="1" applyFont="1" applyFill="1" applyBorder="1" applyAlignment="1">
      <alignment vertical="center"/>
    </xf>
    <xf numFmtId="164" fontId="26" fillId="8" borderId="20" xfId="0" applyNumberFormat="1" applyFont="1" applyFill="1" applyBorder="1" applyAlignment="1">
      <alignment vertical="center"/>
    </xf>
    <xf numFmtId="0" fontId="0" fillId="0" borderId="2" xfId="0" applyFont="1" applyBorder="1" applyAlignment="1"/>
    <xf numFmtId="0" fontId="0" fillId="0" borderId="8" xfId="0" applyFont="1" applyBorder="1" applyAlignment="1"/>
    <xf numFmtId="49" fontId="5" fillId="4" borderId="9" xfId="0" applyNumberFormat="1" applyFont="1" applyFill="1" applyBorder="1" applyAlignment="1">
      <alignment horizontal="center"/>
    </xf>
    <xf numFmtId="49" fontId="5" fillId="0" borderId="9" xfId="0" applyNumberFormat="1" applyFont="1" applyBorder="1" applyAlignment="1">
      <alignment horizontal="center"/>
    </xf>
    <xf numFmtId="49" fontId="5" fillId="0" borderId="9" xfId="0" applyNumberFormat="1" applyFont="1" applyBorder="1" applyAlignment="1"/>
    <xf numFmtId="49" fontId="5" fillId="0" borderId="10" xfId="0" applyNumberFormat="1" applyFont="1" applyBorder="1" applyAlignment="1"/>
    <xf numFmtId="49" fontId="1" fillId="16" borderId="12" xfId="0" applyNumberFormat="1" applyFont="1" applyFill="1" applyBorder="1" applyAlignment="1">
      <alignment vertical="center"/>
    </xf>
    <xf numFmtId="1" fontId="1" fillId="16" borderId="13" xfId="0" applyNumberFormat="1" applyFont="1" applyFill="1" applyBorder="1" applyAlignment="1">
      <alignment vertical="center"/>
    </xf>
    <xf numFmtId="0" fontId="1" fillId="16" borderId="13" xfId="0" applyFont="1" applyFill="1" applyBorder="1" applyAlignment="1"/>
    <xf numFmtId="164" fontId="9" fillId="16" borderId="13" xfId="0" applyNumberFormat="1" applyFont="1" applyFill="1" applyBorder="1" applyAlignment="1">
      <alignment vertical="center"/>
    </xf>
    <xf numFmtId="164" fontId="25" fillId="16" borderId="14" xfId="0" applyNumberFormat="1" applyFont="1" applyFill="1" applyBorder="1" applyAlignment="1">
      <alignment vertical="center"/>
    </xf>
    <xf numFmtId="49" fontId="1" fillId="16" borderId="15" xfId="0" applyNumberFormat="1" applyFont="1" applyFill="1" applyBorder="1" applyAlignment="1">
      <alignment vertical="center"/>
    </xf>
    <xf numFmtId="1" fontId="1" fillId="16" borderId="16" xfId="0" applyNumberFormat="1" applyFont="1" applyFill="1" applyBorder="1" applyAlignment="1">
      <alignment vertical="center"/>
    </xf>
    <xf numFmtId="164" fontId="1" fillId="16" borderId="16" xfId="0" applyNumberFormat="1" applyFont="1" applyFill="1" applyBorder="1" applyAlignment="1"/>
    <xf numFmtId="164" fontId="9" fillId="16" borderId="16" xfId="0" applyNumberFormat="1" applyFont="1" applyFill="1" applyBorder="1" applyAlignment="1">
      <alignment vertical="center"/>
    </xf>
    <xf numFmtId="164" fontId="25" fillId="16" borderId="17" xfId="0" applyNumberFormat="1" applyFont="1" applyFill="1" applyBorder="1" applyAlignment="1">
      <alignment vertical="center"/>
    </xf>
    <xf numFmtId="164" fontId="1" fillId="16" borderId="50" xfId="0" applyNumberFormat="1" applyFont="1" applyFill="1" applyBorder="1" applyAlignment="1">
      <alignment vertical="center"/>
    </xf>
    <xf numFmtId="164" fontId="9" fillId="16" borderId="16" xfId="0" applyNumberFormat="1" applyFont="1" applyFill="1" applyBorder="1" applyAlignment="1"/>
    <xf numFmtId="164" fontId="1" fillId="16" borderId="17" xfId="0" applyNumberFormat="1" applyFont="1" applyFill="1" applyBorder="1" applyAlignment="1"/>
    <xf numFmtId="164" fontId="1" fillId="16" borderId="51" xfId="0" applyNumberFormat="1" applyFont="1" applyFill="1" applyBorder="1" applyAlignment="1">
      <alignment vertical="center"/>
    </xf>
    <xf numFmtId="164" fontId="1" fillId="16" borderId="16" xfId="0" applyNumberFormat="1" applyFont="1" applyFill="1" applyBorder="1" applyAlignment="1">
      <alignment vertical="center"/>
    </xf>
    <xf numFmtId="164" fontId="1" fillId="16" borderId="17" xfId="0" applyNumberFormat="1" applyFont="1" applyFill="1" applyBorder="1" applyAlignment="1">
      <alignment vertical="center"/>
    </xf>
    <xf numFmtId="164" fontId="12" fillId="16" borderId="17" xfId="0" applyNumberFormat="1" applyFont="1" applyFill="1" applyBorder="1" applyAlignment="1">
      <alignment vertical="center"/>
    </xf>
    <xf numFmtId="164" fontId="9" fillId="16" borderId="50" xfId="0" applyNumberFormat="1" applyFont="1" applyFill="1" applyBorder="1" applyAlignment="1">
      <alignment vertical="center"/>
    </xf>
    <xf numFmtId="0" fontId="1" fillId="16" borderId="15" xfId="0" applyFont="1" applyFill="1" applyBorder="1" applyAlignment="1">
      <alignment vertical="center"/>
    </xf>
    <xf numFmtId="164" fontId="9" fillId="16" borderId="51" xfId="0" applyNumberFormat="1" applyFont="1" applyFill="1" applyBorder="1" applyAlignment="1">
      <alignment vertical="center"/>
    </xf>
    <xf numFmtId="0" fontId="1" fillId="16" borderId="18" xfId="0" applyFont="1" applyFill="1" applyBorder="1" applyAlignment="1">
      <alignment vertical="center"/>
    </xf>
    <xf numFmtId="1" fontId="1" fillId="16" borderId="19" xfId="0" applyNumberFormat="1" applyFont="1" applyFill="1" applyBorder="1" applyAlignment="1">
      <alignment vertical="center"/>
    </xf>
    <xf numFmtId="164" fontId="1" fillId="16" borderId="19" xfId="0" applyNumberFormat="1" applyFont="1" applyFill="1" applyBorder="1" applyAlignment="1">
      <alignment vertical="center"/>
    </xf>
    <xf numFmtId="164" fontId="9" fillId="16" borderId="19" xfId="0" applyNumberFormat="1" applyFont="1" applyFill="1" applyBorder="1" applyAlignment="1">
      <alignment vertical="center"/>
    </xf>
    <xf numFmtId="164" fontId="12" fillId="16" borderId="20" xfId="0" applyNumberFormat="1" applyFont="1" applyFill="1" applyBorder="1" applyAlignment="1">
      <alignment vertical="center"/>
    </xf>
    <xf numFmtId="1" fontId="24" fillId="4" borderId="2" xfId="0" applyNumberFormat="1" applyFont="1" applyFill="1" applyBorder="1" applyAlignment="1"/>
    <xf numFmtId="0" fontId="5" fillId="0" borderId="8" xfId="0" applyFont="1" applyBorder="1" applyAlignment="1"/>
    <xf numFmtId="49" fontId="5" fillId="0" borderId="9" xfId="0" applyNumberFormat="1" applyFont="1" applyBorder="1" applyAlignment="1">
      <alignment horizontal="right"/>
    </xf>
    <xf numFmtId="49" fontId="5" fillId="0" borderId="10" xfId="0" applyNumberFormat="1" applyFont="1" applyBorder="1" applyAlignment="1">
      <alignment horizontal="right"/>
    </xf>
    <xf numFmtId="49" fontId="1" fillId="5" borderId="12" xfId="0" applyNumberFormat="1" applyFont="1" applyFill="1" applyBorder="1" applyAlignment="1"/>
    <xf numFmtId="1" fontId="1" fillId="5" borderId="13" xfId="0" applyNumberFormat="1" applyFont="1" applyFill="1" applyBorder="1" applyAlignment="1"/>
    <xf numFmtId="164" fontId="1" fillId="5" borderId="13" xfId="0" applyNumberFormat="1" applyFont="1" applyFill="1" applyBorder="1" applyAlignment="1"/>
    <xf numFmtId="164" fontId="27" fillId="5" borderId="14" xfId="0" applyNumberFormat="1" applyFont="1" applyFill="1" applyBorder="1" applyAlignment="1"/>
    <xf numFmtId="49" fontId="1" fillId="17" borderId="15" xfId="0" applyNumberFormat="1" applyFont="1" applyFill="1" applyBorder="1" applyAlignment="1"/>
    <xf numFmtId="1" fontId="1" fillId="17" borderId="16" xfId="0" applyNumberFormat="1" applyFont="1" applyFill="1" applyBorder="1" applyAlignment="1"/>
    <xf numFmtId="164" fontId="1" fillId="17" borderId="16" xfId="0" applyNumberFormat="1" applyFont="1" applyFill="1" applyBorder="1" applyAlignment="1"/>
    <xf numFmtId="164" fontId="1" fillId="17" borderId="17" xfId="0" applyNumberFormat="1" applyFont="1" applyFill="1" applyBorder="1" applyAlignment="1"/>
    <xf numFmtId="164" fontId="28" fillId="17" borderId="17" xfId="0" applyNumberFormat="1" applyFont="1" applyFill="1" applyBorder="1" applyAlignment="1"/>
    <xf numFmtId="164" fontId="1" fillId="7" borderId="52" xfId="0" applyNumberFormat="1" applyFont="1" applyFill="1" applyBorder="1" applyAlignment="1">
      <alignment vertical="center"/>
    </xf>
    <xf numFmtId="164" fontId="1" fillId="7" borderId="53" xfId="0" applyNumberFormat="1" applyFont="1" applyFill="1" applyBorder="1" applyAlignment="1">
      <alignment vertical="center"/>
    </xf>
    <xf numFmtId="49" fontId="1" fillId="13" borderId="54" xfId="0" applyNumberFormat="1" applyFont="1" applyFill="1" applyBorder="1" applyAlignment="1"/>
    <xf numFmtId="164" fontId="1" fillId="13" borderId="55" xfId="0" applyNumberFormat="1" applyFont="1" applyFill="1" applyBorder="1" applyAlignment="1"/>
    <xf numFmtId="164" fontId="1" fillId="13" borderId="56" xfId="0" applyNumberFormat="1" applyFont="1" applyFill="1" applyBorder="1" applyAlignment="1"/>
    <xf numFmtId="164" fontId="9" fillId="13" borderId="57" xfId="0" applyNumberFormat="1" applyFont="1" applyFill="1" applyBorder="1" applyAlignment="1"/>
    <xf numFmtId="164" fontId="1" fillId="13" borderId="17" xfId="0" applyNumberFormat="1" applyFont="1" applyFill="1" applyBorder="1" applyAlignment="1"/>
    <xf numFmtId="49" fontId="1" fillId="13" borderId="15" xfId="0" applyNumberFormat="1" applyFont="1" applyFill="1" applyBorder="1" applyAlignment="1"/>
    <xf numFmtId="164" fontId="1" fillId="13" borderId="58" xfId="0" applyNumberFormat="1" applyFont="1" applyFill="1" applyBorder="1" applyAlignment="1"/>
    <xf numFmtId="164" fontId="1" fillId="13" borderId="59" xfId="0" applyNumberFormat="1" applyFont="1" applyFill="1" applyBorder="1" applyAlignment="1"/>
    <xf numFmtId="164" fontId="9" fillId="13" borderId="16" xfId="0" applyNumberFormat="1" applyFont="1" applyFill="1" applyBorder="1" applyAlignment="1"/>
    <xf numFmtId="164" fontId="1" fillId="13" borderId="19" xfId="0" applyNumberFormat="1" applyFont="1" applyFill="1" applyBorder="1" applyAlignment="1"/>
    <xf numFmtId="164" fontId="12" fillId="13" borderId="20" xfId="0" applyNumberFormat="1" applyFont="1" applyFill="1" applyBorder="1" applyAlignment="1"/>
    <xf numFmtId="0" fontId="0" fillId="0" borderId="0" xfId="0" applyNumberFormat="1" applyFont="1" applyAlignment="1"/>
    <xf numFmtId="49" fontId="4" fillId="0" borderId="2" xfId="0" applyNumberFormat="1" applyFont="1" applyBorder="1" applyAlignment="1"/>
    <xf numFmtId="1" fontId="4" fillId="4" borderId="2" xfId="0" applyNumberFormat="1" applyFont="1" applyFill="1" applyBorder="1" applyAlignment="1"/>
    <xf numFmtId="0" fontId="0" fillId="0" borderId="27" xfId="0" applyFont="1" applyBorder="1" applyAlignment="1"/>
    <xf numFmtId="0" fontId="0" fillId="0" borderId="60" xfId="0" applyFont="1" applyBorder="1" applyAlignment="1"/>
    <xf numFmtId="49" fontId="1" fillId="0" borderId="30" xfId="0" applyNumberFormat="1" applyFont="1" applyBorder="1" applyAlignment="1">
      <alignment horizontal="center"/>
    </xf>
    <xf numFmtId="49" fontId="1" fillId="0" borderId="31" xfId="0" applyNumberFormat="1" applyFont="1" applyBorder="1" applyAlignment="1">
      <alignment horizontal="center"/>
    </xf>
    <xf numFmtId="49" fontId="0" fillId="5" borderId="12" xfId="0" applyNumberFormat="1" applyFont="1" applyFill="1" applyBorder="1" applyAlignment="1"/>
    <xf numFmtId="1" fontId="0" fillId="5" borderId="13" xfId="0" applyNumberFormat="1" applyFont="1" applyFill="1" applyBorder="1" applyAlignment="1"/>
    <xf numFmtId="164" fontId="0" fillId="5" borderId="13" xfId="0" applyNumberFormat="1" applyFont="1" applyFill="1" applyBorder="1" applyAlignment="1"/>
    <xf numFmtId="164" fontId="1" fillId="0" borderId="27" xfId="0" applyNumberFormat="1" applyFont="1" applyBorder="1" applyAlignment="1">
      <alignment horizontal="center"/>
    </xf>
    <xf numFmtId="49" fontId="1" fillId="5" borderId="15" xfId="0" applyNumberFormat="1" applyFont="1" applyFill="1" applyBorder="1" applyAlignment="1"/>
    <xf numFmtId="1" fontId="1" fillId="5" borderId="16" xfId="0" applyNumberFormat="1" applyFont="1" applyFill="1" applyBorder="1" applyAlignment="1"/>
    <xf numFmtId="164" fontId="1" fillId="5" borderId="16" xfId="0" applyNumberFormat="1" applyFont="1" applyFill="1" applyBorder="1" applyAlignment="1"/>
    <xf numFmtId="164" fontId="0" fillId="5" borderId="17" xfId="0" applyNumberFormat="1" applyFont="1" applyFill="1" applyBorder="1" applyAlignment="1"/>
    <xf numFmtId="0" fontId="0" fillId="0" borderId="30" xfId="0" applyFont="1" applyBorder="1" applyAlignment="1"/>
    <xf numFmtId="164" fontId="9" fillId="5" borderId="16" xfId="0" applyNumberFormat="1" applyFont="1" applyFill="1" applyBorder="1" applyAlignment="1"/>
    <xf numFmtId="164" fontId="1" fillId="5" borderId="17" xfId="0" applyNumberFormat="1" applyFont="1" applyFill="1" applyBorder="1" applyAlignment="1"/>
    <xf numFmtId="0" fontId="1" fillId="5" borderId="15" xfId="0" applyFont="1" applyFill="1" applyBorder="1" applyAlignment="1"/>
    <xf numFmtId="49" fontId="0" fillId="6" borderId="15" xfId="0" applyNumberFormat="1" applyFont="1" applyFill="1" applyBorder="1" applyAlignment="1"/>
    <xf numFmtId="1" fontId="1" fillId="6" borderId="16" xfId="0" applyNumberFormat="1" applyFont="1" applyFill="1" applyBorder="1" applyAlignment="1"/>
    <xf numFmtId="164" fontId="1" fillId="6" borderId="17" xfId="0" applyNumberFormat="1" applyFont="1" applyFill="1" applyBorder="1" applyAlignment="1"/>
    <xf numFmtId="164" fontId="1" fillId="6" borderId="16" xfId="0" applyNumberFormat="1" applyFont="1" applyFill="1" applyBorder="1" applyAlignment="1"/>
    <xf numFmtId="49" fontId="0" fillId="7" borderId="15" xfId="0" applyNumberFormat="1" applyFont="1" applyFill="1" applyBorder="1" applyAlignment="1">
      <alignment vertical="center"/>
    </xf>
    <xf numFmtId="164" fontId="9" fillId="6" borderId="16" xfId="0" applyNumberFormat="1" applyFont="1" applyFill="1" applyBorder="1" applyAlignment="1"/>
    <xf numFmtId="49" fontId="1" fillId="6" borderId="15" xfId="0" applyNumberFormat="1" applyFont="1" applyFill="1" applyBorder="1" applyAlignment="1"/>
    <xf numFmtId="164" fontId="0" fillId="6" borderId="16" xfId="0" applyNumberFormat="1" applyFont="1" applyFill="1" applyBorder="1" applyAlignment="1"/>
    <xf numFmtId="164" fontId="28" fillId="6" borderId="17" xfId="0" applyNumberFormat="1" applyFont="1" applyFill="1" applyBorder="1" applyAlignment="1"/>
    <xf numFmtId="49" fontId="0" fillId="16" borderId="15" xfId="0" applyNumberFormat="1" applyFont="1" applyFill="1" applyBorder="1" applyAlignment="1"/>
    <xf numFmtId="1" fontId="1" fillId="16" borderId="16" xfId="0" applyNumberFormat="1" applyFont="1" applyFill="1" applyBorder="1" applyAlignment="1"/>
    <xf numFmtId="164" fontId="9" fillId="16" borderId="17" xfId="0" applyNumberFormat="1" applyFont="1" applyFill="1" applyBorder="1" applyAlignment="1"/>
    <xf numFmtId="164" fontId="0" fillId="16" borderId="16" xfId="0" applyNumberFormat="1" applyFont="1" applyFill="1" applyBorder="1" applyAlignment="1"/>
    <xf numFmtId="49" fontId="1" fillId="16" borderId="18" xfId="0" applyNumberFormat="1" applyFont="1" applyFill="1" applyBorder="1" applyAlignment="1"/>
    <xf numFmtId="1" fontId="1" fillId="16" borderId="19" xfId="0" applyNumberFormat="1" applyFont="1" applyFill="1" applyBorder="1" applyAlignment="1"/>
    <xf numFmtId="164" fontId="1" fillId="16" borderId="19" xfId="0" applyNumberFormat="1" applyFont="1" applyFill="1" applyBorder="1" applyAlignment="1"/>
    <xf numFmtId="164" fontId="9" fillId="16" borderId="19" xfId="0" applyNumberFormat="1" applyFont="1" applyFill="1" applyBorder="1" applyAlignment="1"/>
    <xf numFmtId="164" fontId="12" fillId="16" borderId="20" xfId="0" applyNumberFormat="1" applyFont="1" applyFill="1" applyBorder="1" applyAlignment="1"/>
    <xf numFmtId="49" fontId="1" fillId="6" borderId="12" xfId="0" applyNumberFormat="1" applyFont="1" applyFill="1" applyBorder="1" applyAlignment="1"/>
    <xf numFmtId="1" fontId="1" fillId="6" borderId="13" xfId="0" applyNumberFormat="1" applyFont="1" applyFill="1" applyBorder="1" applyAlignment="1"/>
    <xf numFmtId="164" fontId="1" fillId="6" borderId="13" xfId="0" applyNumberFormat="1" applyFont="1" applyFill="1" applyBorder="1" applyAlignment="1"/>
    <xf numFmtId="164" fontId="27" fillId="6" borderId="14" xfId="0" applyNumberFormat="1" applyFont="1" applyFill="1" applyBorder="1" applyAlignment="1"/>
    <xf numFmtId="164" fontId="7" fillId="6" borderId="16" xfId="0" applyNumberFormat="1" applyFont="1" applyFill="1" applyBorder="1" applyAlignment="1"/>
    <xf numFmtId="164" fontId="9" fillId="6" borderId="17" xfId="0" applyNumberFormat="1" applyFont="1" applyFill="1" applyBorder="1" applyAlignment="1"/>
    <xf numFmtId="164" fontId="29" fillId="5" borderId="17" xfId="0" applyNumberFormat="1" applyFont="1" applyFill="1" applyBorder="1" applyAlignment="1"/>
    <xf numFmtId="164" fontId="25" fillId="5" borderId="17" xfId="0" applyNumberFormat="1" applyFont="1" applyFill="1" applyBorder="1" applyAlignment="1"/>
    <xf numFmtId="164" fontId="9" fillId="5" borderId="17" xfId="0" applyNumberFormat="1" applyFont="1" applyFill="1" applyBorder="1" applyAlignment="1"/>
    <xf numFmtId="49" fontId="9" fillId="0" borderId="27" xfId="0" applyNumberFormat="1" applyFont="1" applyBorder="1" applyAlignment="1"/>
    <xf numFmtId="49" fontId="1" fillId="10" borderId="15" xfId="0" applyNumberFormat="1" applyFont="1" applyFill="1" applyBorder="1" applyAlignment="1"/>
    <xf numFmtId="1" fontId="1" fillId="10" borderId="16" xfId="0" applyNumberFormat="1" applyFont="1" applyFill="1" applyBorder="1" applyAlignment="1"/>
    <xf numFmtId="164" fontId="1" fillId="10" borderId="16" xfId="0" applyNumberFormat="1" applyFont="1" applyFill="1" applyBorder="1" applyAlignment="1"/>
    <xf numFmtId="164" fontId="27" fillId="10" borderId="17" xfId="0" applyNumberFormat="1" applyFont="1" applyFill="1" applyBorder="1" applyAlignment="1"/>
    <xf numFmtId="0" fontId="9" fillId="0" borderId="31" xfId="0" applyFont="1" applyBorder="1" applyAlignment="1">
      <alignment horizontal="center"/>
    </xf>
    <xf numFmtId="0" fontId="0" fillId="0" borderId="32" xfId="0" applyFont="1" applyBorder="1" applyAlignment="1"/>
    <xf numFmtId="0" fontId="0" fillId="0" borderId="28" xfId="0" applyFont="1" applyBorder="1" applyAlignment="1"/>
    <xf numFmtId="164" fontId="9" fillId="10" borderId="17" xfId="0" applyNumberFormat="1" applyFont="1" applyFill="1" applyBorder="1" applyAlignment="1"/>
    <xf numFmtId="164" fontId="30" fillId="8" borderId="20" xfId="0" applyNumberFormat="1" applyFont="1" applyFill="1" applyBorder="1" applyAlignment="1"/>
    <xf numFmtId="49" fontId="1" fillId="0" borderId="29" xfId="0" applyNumberFormat="1" applyFont="1" applyBorder="1" applyAlignment="1">
      <alignment horizontal="center"/>
    </xf>
    <xf numFmtId="164" fontId="9" fillId="5" borderId="14" xfId="0" applyNumberFormat="1" applyFont="1" applyFill="1" applyBorder="1" applyAlignment="1"/>
    <xf numFmtId="0" fontId="1" fillId="0" borderId="33" xfId="0" applyFont="1" applyBorder="1" applyAlignment="1"/>
    <xf numFmtId="164" fontId="31" fillId="5" borderId="17" xfId="0" applyNumberFormat="1" applyFont="1" applyFill="1" applyBorder="1" applyAlignment="1"/>
    <xf numFmtId="49" fontId="1" fillId="5" borderId="18" xfId="0" applyNumberFormat="1" applyFont="1" applyFill="1" applyBorder="1" applyAlignment="1"/>
    <xf numFmtId="1" fontId="1" fillId="5" borderId="19" xfId="0" applyNumberFormat="1" applyFont="1" applyFill="1" applyBorder="1" applyAlignment="1"/>
    <xf numFmtId="164" fontId="1" fillId="5" borderId="19" xfId="0" applyNumberFormat="1" applyFont="1" applyFill="1" applyBorder="1" applyAlignment="1"/>
    <xf numFmtId="164" fontId="32" fillId="5" borderId="20" xfId="0" applyNumberFormat="1" applyFont="1" applyFill="1" applyBorder="1" applyAlignment="1"/>
    <xf numFmtId="0" fontId="0" fillId="0" borderId="0" xfId="0" applyNumberFormat="1" applyFont="1" applyAlignment="1"/>
    <xf numFmtId="49" fontId="0" fillId="4" borderId="1" xfId="0" applyNumberFormat="1" applyFont="1" applyFill="1" applyBorder="1" applyAlignment="1"/>
    <xf numFmtId="0" fontId="0" fillId="4" borderId="1" xfId="0" applyNumberFormat="1" applyFont="1" applyFill="1" applyBorder="1" applyAlignment="1"/>
    <xf numFmtId="16" fontId="0" fillId="4" borderId="1" xfId="0" applyNumberFormat="1" applyFont="1" applyFill="1" applyBorder="1" applyAlignment="1"/>
    <xf numFmtId="15" fontId="0" fillId="4" borderId="1" xfId="0" applyNumberFormat="1" applyFont="1" applyFill="1" applyBorder="1" applyAlignment="1"/>
    <xf numFmtId="164" fontId="0" fillId="4" borderId="1" xfId="0" applyNumberFormat="1" applyFont="1" applyFill="1" applyBorder="1" applyAlignment="1"/>
    <xf numFmtId="165" fontId="33" fillId="0" borderId="1" xfId="0" applyNumberFormat="1" applyFont="1" applyBorder="1" applyAlignment="1"/>
    <xf numFmtId="165" fontId="33" fillId="4" borderId="1" xfId="0" applyNumberFormat="1" applyFont="1" applyFill="1" applyBorder="1" applyAlignment="1"/>
    <xf numFmtId="165" fontId="33" fillId="0" borderId="0" xfId="0" applyNumberFormat="1" applyFont="1" applyAlignment="1"/>
    <xf numFmtId="17" fontId="5" fillId="4" borderId="4" xfId="0" applyNumberFormat="1" applyFont="1" applyFill="1" applyBorder="1" applyAlignment="1">
      <alignment vertical="center"/>
    </xf>
    <xf numFmtId="164" fontId="5" fillId="0" borderId="27" xfId="0" applyNumberFormat="1" applyFont="1" applyBorder="1" applyAlignment="1">
      <alignment horizontal="right"/>
    </xf>
    <xf numFmtId="164" fontId="9" fillId="0" borderId="27" xfId="0" applyNumberFormat="1" applyFont="1" applyBorder="1" applyAlignment="1">
      <alignment horizontal="right"/>
    </xf>
    <xf numFmtId="164" fontId="9" fillId="0" borderId="29" xfId="0" applyNumberFormat="1" applyFont="1" applyBorder="1" applyAlignment="1">
      <alignment horizontal="right"/>
    </xf>
    <xf numFmtId="164" fontId="9" fillId="0" borderId="30" xfId="0" applyNumberFormat="1" applyFont="1" applyBorder="1" applyAlignment="1">
      <alignment horizontal="right"/>
    </xf>
    <xf numFmtId="164" fontId="9" fillId="0" borderId="33" xfId="0" applyNumberFormat="1" applyFont="1" applyBorder="1" applyAlignment="1">
      <alignment horizontal="right"/>
    </xf>
    <xf numFmtId="164" fontId="5" fillId="0" borderId="30" xfId="0" applyNumberFormat="1" applyFont="1" applyBorder="1" applyAlignment="1">
      <alignment horizontal="right"/>
    </xf>
    <xf numFmtId="164" fontId="5" fillId="0" borderId="1" xfId="0" applyNumberFormat="1" applyFont="1" applyBorder="1" applyAlignment="1">
      <alignment horizontal="right"/>
    </xf>
    <xf numFmtId="164" fontId="5" fillId="0" borderId="28" xfId="0" applyNumberFormat="1" applyFont="1" applyBorder="1" applyAlignment="1">
      <alignment horizontal="right"/>
    </xf>
    <xf numFmtId="0" fontId="0" fillId="0" borderId="28" xfId="0" applyFont="1" applyBorder="1" applyAlignment="1">
      <alignment horizontal="right"/>
    </xf>
    <xf numFmtId="0" fontId="1" fillId="0" borderId="33" xfId="0" applyFont="1" applyBorder="1" applyAlignment="1">
      <alignment horizontal="right"/>
    </xf>
    <xf numFmtId="164" fontId="1" fillId="0" borderId="27" xfId="0" applyNumberFormat="1" applyFont="1" applyBorder="1" applyAlignment="1">
      <alignment horizontal="right"/>
    </xf>
    <xf numFmtId="0" fontId="0" fillId="0" borderId="1" xfId="0" applyFont="1" applyBorder="1" applyAlignment="1">
      <alignment horizontal="right"/>
    </xf>
    <xf numFmtId="0" fontId="0" fillId="0" borderId="30" xfId="0" applyFont="1" applyBorder="1" applyAlignment="1">
      <alignment horizontal="right"/>
    </xf>
    <xf numFmtId="0" fontId="1" fillId="0" borderId="0" xfId="0" applyFont="1" applyAlignment="1">
      <alignment horizontal="left" wrapText="1"/>
    </xf>
    <xf numFmtId="0" fontId="0" fillId="0" borderId="0" xfId="0" applyFont="1" applyAlignment="1"/>
    <xf numFmtId="49" fontId="0" fillId="9" borderId="23" xfId="0" applyNumberFormat="1" applyFont="1" applyFill="1" applyBorder="1" applyAlignment="1">
      <alignment horizontal="center" vertical="center" wrapText="1"/>
    </xf>
    <xf numFmtId="0" fontId="0" fillId="9" borderId="23" xfId="0" applyFont="1" applyFill="1" applyBorder="1" applyAlignment="1">
      <alignment horizontal="center" vertical="center" wrapText="1"/>
    </xf>
    <xf numFmtId="0" fontId="0" fillId="4" borderId="23" xfId="0" applyFont="1" applyFill="1" applyBorder="1" applyAlignment="1">
      <alignment vertical="center"/>
    </xf>
    <xf numFmtId="164" fontId="34" fillId="0" borderId="1" xfId="0" applyNumberFormat="1" applyFont="1" applyBorder="1" applyAlignment="1">
      <alignment horizontal="right"/>
    </xf>
    <xf numFmtId="0" fontId="36" fillId="4" borderId="11" xfId="0" applyFont="1" applyFill="1" applyBorder="1" applyAlignment="1">
      <alignment vertical="center"/>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DAEEF3"/>
      <rgbColor rgb="FFFDE9D9"/>
      <rgbColor rgb="FFFFFFCC"/>
      <rgbColor rgb="FFFF0000"/>
      <rgbColor rgb="FFE5DFEC"/>
      <rgbColor rgb="FFCCFFFF"/>
      <rgbColor rgb="FFF79646"/>
      <rgbColor rgb="FFEAF1DD"/>
      <rgbColor rgb="FF00B050"/>
      <rgbColor rgb="FFB97034"/>
      <rgbColor rgb="FFDD0806"/>
      <rgbColor rgb="FFDBE5F1"/>
      <rgbColor rgb="FFA5D5E2"/>
      <rgbColor rgb="FFA7A7A7"/>
      <rgbColor rgb="FFFBCAA2"/>
      <rgbColor rgb="FFE4DFEC"/>
      <rgbColor rgb="FFFFFDCC"/>
      <rgbColor rgb="FFF2DBDB"/>
      <rgbColor rgb="FF78C0D4"/>
      <rgbColor rgb="FFFF2600"/>
      <rgbColor rgb="FF7F7F7F"/>
      <rgbColor rgb="FF00A900"/>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12608</xdr:colOff>
      <xdr:row>27</xdr:row>
      <xdr:rowOff>114300</xdr:rowOff>
    </xdr:from>
    <xdr:to>
      <xdr:col>6</xdr:col>
      <xdr:colOff>1562099</xdr:colOff>
      <xdr:row>39</xdr:row>
      <xdr:rowOff>88781</xdr:rowOff>
    </xdr:to>
    <xdr:sp macro="" textlink="">
      <xdr:nvSpPr>
        <xdr:cNvPr id="2" name="Straight Connector 1">
          <a:extLst>
            <a:ext uri="{FF2B5EF4-FFF2-40B4-BE49-F238E27FC236}">
              <a16:creationId xmlns:a16="http://schemas.microsoft.com/office/drawing/2014/main" id="{00000000-0008-0000-0200-000002000000}"/>
            </a:ext>
          </a:extLst>
        </xdr:cNvPr>
        <xdr:cNvSpPr/>
      </xdr:nvSpPr>
      <xdr:spPr>
        <a:xfrm flipV="1">
          <a:off x="8267608" y="5970270"/>
          <a:ext cx="1549492" cy="2422407"/>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11</xdr:col>
      <xdr:colOff>301626</xdr:colOff>
      <xdr:row>18</xdr:row>
      <xdr:rowOff>152141</xdr:rowOff>
    </xdr:from>
    <xdr:to>
      <xdr:col>11</xdr:col>
      <xdr:colOff>301626</xdr:colOff>
      <xdr:row>25</xdr:row>
      <xdr:rowOff>292100</xdr:rowOff>
    </xdr:to>
    <xdr:sp macro="" textlink="">
      <xdr:nvSpPr>
        <xdr:cNvPr id="3" name="Straight Connector 7">
          <a:extLst>
            <a:ext uri="{FF2B5EF4-FFF2-40B4-BE49-F238E27FC236}">
              <a16:creationId xmlns:a16="http://schemas.microsoft.com/office/drawing/2014/main" id="{00000000-0008-0000-0200-000003000000}"/>
            </a:ext>
          </a:extLst>
        </xdr:cNvPr>
        <xdr:cNvSpPr/>
      </xdr:nvSpPr>
      <xdr:spPr>
        <a:xfrm>
          <a:off x="16964026" y="4007861"/>
          <a:ext cx="1" cy="1625860"/>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5</xdr:col>
      <xdr:colOff>590550</xdr:colOff>
      <xdr:row>15</xdr:row>
      <xdr:rowOff>0</xdr:rowOff>
    </xdr:from>
    <xdr:to>
      <xdr:col>5</xdr:col>
      <xdr:colOff>590550</xdr:colOff>
      <xdr:row>17</xdr:row>
      <xdr:rowOff>0</xdr:rowOff>
    </xdr:to>
    <xdr:sp macro="" textlink="">
      <xdr:nvSpPr>
        <xdr:cNvPr id="4" name="Straight Connector 9">
          <a:extLst>
            <a:ext uri="{FF2B5EF4-FFF2-40B4-BE49-F238E27FC236}">
              <a16:creationId xmlns:a16="http://schemas.microsoft.com/office/drawing/2014/main" id="{00000000-0008-0000-0200-000004000000}"/>
            </a:ext>
          </a:extLst>
        </xdr:cNvPr>
        <xdr:cNvSpPr/>
      </xdr:nvSpPr>
      <xdr:spPr>
        <a:xfrm>
          <a:off x="7969250" y="3074670"/>
          <a:ext cx="0" cy="504826"/>
        </a:xfrm>
        <a:prstGeom prst="line">
          <a:avLst/>
        </a:prstGeom>
        <a:noFill/>
        <a:ln w="25400" cap="flat">
          <a:solidFill>
            <a:srgbClr val="0000FF"/>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6</xdr:col>
      <xdr:colOff>19049</xdr:colOff>
      <xdr:row>40</xdr:row>
      <xdr:rowOff>123824</xdr:rowOff>
    </xdr:from>
    <xdr:to>
      <xdr:col>7</xdr:col>
      <xdr:colOff>12699</xdr:colOff>
      <xdr:row>46</xdr:row>
      <xdr:rowOff>101598</xdr:rowOff>
    </xdr:to>
    <xdr:sp macro="" textlink="">
      <xdr:nvSpPr>
        <xdr:cNvPr id="6" name="Straight Connector 1">
          <a:extLst>
            <a:ext uri="{FF2B5EF4-FFF2-40B4-BE49-F238E27FC236}">
              <a16:creationId xmlns:a16="http://schemas.microsoft.com/office/drawing/2014/main" id="{00000000-0008-0000-0200-000006000000}"/>
            </a:ext>
          </a:extLst>
        </xdr:cNvPr>
        <xdr:cNvSpPr/>
      </xdr:nvSpPr>
      <xdr:spPr>
        <a:xfrm>
          <a:off x="8274049" y="8627744"/>
          <a:ext cx="1555751" cy="1271905"/>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6</xdr:col>
      <xdr:colOff>47624</xdr:colOff>
      <xdr:row>41</xdr:row>
      <xdr:rowOff>133349</xdr:rowOff>
    </xdr:from>
    <xdr:to>
      <xdr:col>6</xdr:col>
      <xdr:colOff>1343025</xdr:colOff>
      <xdr:row>60</xdr:row>
      <xdr:rowOff>85723</xdr:rowOff>
    </xdr:to>
    <xdr:sp macro="" textlink="">
      <xdr:nvSpPr>
        <xdr:cNvPr id="8" name="Straight Connector 1">
          <a:extLst>
            <a:ext uri="{FF2B5EF4-FFF2-40B4-BE49-F238E27FC236}">
              <a16:creationId xmlns:a16="http://schemas.microsoft.com/office/drawing/2014/main" id="{00000000-0008-0000-0200-000008000000}"/>
            </a:ext>
          </a:extLst>
        </xdr:cNvPr>
        <xdr:cNvSpPr/>
      </xdr:nvSpPr>
      <xdr:spPr>
        <a:xfrm>
          <a:off x="8302624" y="8837294"/>
          <a:ext cx="1295402" cy="4123055"/>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13</xdr:col>
      <xdr:colOff>303665</xdr:colOff>
      <xdr:row>19</xdr:row>
      <xdr:rowOff>142874</xdr:rowOff>
    </xdr:from>
    <xdr:to>
      <xdr:col>13</xdr:col>
      <xdr:colOff>303665</xdr:colOff>
      <xdr:row>43</xdr:row>
      <xdr:rowOff>35559</xdr:rowOff>
    </xdr:to>
    <xdr:sp macro="" textlink="">
      <xdr:nvSpPr>
        <xdr:cNvPr id="9" name="Shape 9">
          <a:extLst>
            <a:ext uri="{FF2B5EF4-FFF2-40B4-BE49-F238E27FC236}">
              <a16:creationId xmlns:a16="http://schemas.microsoft.com/office/drawing/2014/main" id="{00000000-0008-0000-0200-000009000000}"/>
            </a:ext>
          </a:extLst>
        </xdr:cNvPr>
        <xdr:cNvSpPr/>
      </xdr:nvSpPr>
      <xdr:spPr>
        <a:xfrm flipV="1">
          <a:off x="18718665" y="4255769"/>
          <a:ext cx="1" cy="4895851"/>
        </a:xfrm>
        <a:prstGeom prst="line">
          <a:avLst/>
        </a:prstGeom>
        <a:noFill/>
        <a:ln w="25400" cap="flat">
          <a:solidFill>
            <a:srgbClr val="FF2600"/>
          </a:solidFill>
          <a:prstDash val="solid"/>
          <a:round/>
        </a:ln>
        <a:effectLst>
          <a:outerShdw blurRad="38100" dist="20000" dir="5400000" rotWithShape="0">
            <a:srgbClr val="000000">
              <a:alpha val="38000"/>
            </a:srgbClr>
          </a:outerShdw>
        </a:effectLst>
      </xdr:spPr>
      <xdr:txBody>
        <a:bodyPr/>
        <a:lstStyle/>
        <a:p>
          <a:endParaRPr/>
        </a:p>
      </xdr:txBody>
    </xdr:sp>
    <xdr:clientData/>
  </xdr:twoCellAnchor>
  <xdr:twoCellAnchor>
    <xdr:from>
      <xdr:col>13</xdr:col>
      <xdr:colOff>0</xdr:colOff>
      <xdr:row>19</xdr:row>
      <xdr:rowOff>116204</xdr:rowOff>
    </xdr:from>
    <xdr:to>
      <xdr:col>13</xdr:col>
      <xdr:colOff>312021</xdr:colOff>
      <xdr:row>19</xdr:row>
      <xdr:rowOff>116204</xdr:rowOff>
    </xdr:to>
    <xdr:sp macro="" textlink="">
      <xdr:nvSpPr>
        <xdr:cNvPr id="10" name="Shape 10">
          <a:extLst>
            <a:ext uri="{FF2B5EF4-FFF2-40B4-BE49-F238E27FC236}">
              <a16:creationId xmlns:a16="http://schemas.microsoft.com/office/drawing/2014/main" id="{00000000-0008-0000-0200-00000A000000}"/>
            </a:ext>
          </a:extLst>
        </xdr:cNvPr>
        <xdr:cNvSpPr/>
      </xdr:nvSpPr>
      <xdr:spPr>
        <a:xfrm>
          <a:off x="18415000" y="4229100"/>
          <a:ext cx="312022" cy="0"/>
        </a:xfrm>
        <a:prstGeom prst="line">
          <a:avLst/>
        </a:prstGeom>
        <a:noFill/>
        <a:ln w="25400" cap="flat">
          <a:solidFill>
            <a:srgbClr val="FF2600"/>
          </a:solidFill>
          <a:prstDash val="solid"/>
          <a:round/>
        </a:ln>
        <a:effectLst>
          <a:outerShdw blurRad="38100" dist="20000" dir="5400000" rotWithShape="0">
            <a:srgbClr val="000000">
              <a:alpha val="38000"/>
            </a:srgbClr>
          </a:outerShdw>
        </a:effectLst>
      </xdr:spPr>
      <xdr:txBody>
        <a:bodyPr/>
        <a:lstStyle/>
        <a:p>
          <a:endParaRPr/>
        </a:p>
      </xdr:txBody>
    </xdr:sp>
    <xdr:clientData/>
  </xdr:twoCellAnchor>
  <xdr:twoCellAnchor>
    <xdr:from>
      <xdr:col>13</xdr:col>
      <xdr:colOff>0</xdr:colOff>
      <xdr:row>20</xdr:row>
      <xdr:rowOff>112394</xdr:rowOff>
    </xdr:from>
    <xdr:to>
      <xdr:col>13</xdr:col>
      <xdr:colOff>811665</xdr:colOff>
      <xdr:row>20</xdr:row>
      <xdr:rowOff>112394</xdr:rowOff>
    </xdr:to>
    <xdr:sp macro="" textlink="">
      <xdr:nvSpPr>
        <xdr:cNvPr id="11" name="Shape 11">
          <a:extLst>
            <a:ext uri="{FF2B5EF4-FFF2-40B4-BE49-F238E27FC236}">
              <a16:creationId xmlns:a16="http://schemas.microsoft.com/office/drawing/2014/main" id="{00000000-0008-0000-0200-00000B000000}"/>
            </a:ext>
          </a:extLst>
        </xdr:cNvPr>
        <xdr:cNvSpPr/>
      </xdr:nvSpPr>
      <xdr:spPr>
        <a:xfrm flipH="1">
          <a:off x="18415000" y="4434839"/>
          <a:ext cx="811666" cy="1"/>
        </a:xfrm>
        <a:prstGeom prst="line">
          <a:avLst/>
        </a:prstGeom>
        <a:noFill/>
        <a:ln w="25400" cap="flat">
          <a:solidFill>
            <a:srgbClr val="FF2600"/>
          </a:solidFill>
          <a:prstDash val="solid"/>
          <a:round/>
        </a:ln>
        <a:effectLst>
          <a:outerShdw blurRad="38100" dist="20000" dir="5400000" rotWithShape="0">
            <a:srgbClr val="000000">
              <a:alpha val="38000"/>
            </a:srgbClr>
          </a:outerShdw>
        </a:effectLst>
      </xdr:spPr>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19049</xdr:colOff>
      <xdr:row>23</xdr:row>
      <xdr:rowOff>71329</xdr:rowOff>
    </xdr:from>
    <xdr:to>
      <xdr:col>19</xdr:col>
      <xdr:colOff>437595</xdr:colOff>
      <xdr:row>37</xdr:row>
      <xdr:rowOff>124141</xdr:rowOff>
    </xdr:to>
    <xdr:sp macro="" textlink="">
      <xdr:nvSpPr>
        <xdr:cNvPr id="14" name="Straight Arrow Connector 8">
          <a:extLst>
            <a:ext uri="{FF2B5EF4-FFF2-40B4-BE49-F238E27FC236}">
              <a16:creationId xmlns:a16="http://schemas.microsoft.com/office/drawing/2014/main" id="{00000000-0008-0000-0300-00000E000000}"/>
            </a:ext>
          </a:extLst>
        </xdr:cNvPr>
        <xdr:cNvSpPr/>
      </xdr:nvSpPr>
      <xdr:spPr>
        <a:xfrm flipH="1">
          <a:off x="15487649" y="4765249"/>
          <a:ext cx="8381447" cy="3043663"/>
        </a:xfrm>
        <a:prstGeom prst="line">
          <a:avLst/>
        </a:prstGeom>
        <a:noFill/>
        <a:ln w="25400" cap="flat">
          <a:solidFill>
            <a:srgbClr val="FF0000"/>
          </a:solidFill>
          <a:prstDash val="solid"/>
          <a:round/>
          <a:tailEnd type="triangle" w="med" len="med"/>
        </a:ln>
        <a:effectLst>
          <a:outerShdw blurRad="38100" dist="20000" dir="5400000" rotWithShape="0">
            <a:srgbClr val="000000">
              <a:alpha val="38000"/>
            </a:srgbClr>
          </a:outerShdw>
        </a:effectLst>
      </xdr:spPr>
      <xdr:txBody>
        <a:bodyPr/>
        <a:lstStyle/>
        <a:p>
          <a:endParaRPr/>
        </a:p>
      </xdr:txBody>
    </xdr:sp>
    <xdr:clientData/>
  </xdr:twoCellAnchor>
  <xdr:twoCellAnchor>
    <xdr:from>
      <xdr:col>5</xdr:col>
      <xdr:colOff>698499</xdr:colOff>
      <xdr:row>29</xdr:row>
      <xdr:rowOff>9842</xdr:rowOff>
    </xdr:from>
    <xdr:to>
      <xdr:col>7</xdr:col>
      <xdr:colOff>561974</xdr:colOff>
      <xdr:row>49</xdr:row>
      <xdr:rowOff>105092</xdr:rowOff>
    </xdr:to>
    <xdr:sp macro="" textlink="">
      <xdr:nvSpPr>
        <xdr:cNvPr id="15" name="Straight Arrow Connector 2">
          <a:extLst>
            <a:ext uri="{FF2B5EF4-FFF2-40B4-BE49-F238E27FC236}">
              <a16:creationId xmlns:a16="http://schemas.microsoft.com/office/drawing/2014/main" id="{00000000-0008-0000-0300-00000F000000}"/>
            </a:ext>
          </a:extLst>
        </xdr:cNvPr>
        <xdr:cNvSpPr/>
      </xdr:nvSpPr>
      <xdr:spPr>
        <a:xfrm>
          <a:off x="7873999" y="5903912"/>
          <a:ext cx="1235076" cy="4333876"/>
        </a:xfrm>
        <a:prstGeom prst="line">
          <a:avLst/>
        </a:prstGeom>
        <a:noFill/>
        <a:ln w="25400" cap="flat">
          <a:solidFill>
            <a:srgbClr val="FF0000"/>
          </a:solidFill>
          <a:prstDash val="solid"/>
          <a:round/>
          <a:tailEnd type="triangle" w="med" len="med"/>
        </a:ln>
        <a:effectLst>
          <a:outerShdw blurRad="38100" dist="20000" dir="5400000" rotWithShape="0">
            <a:srgbClr val="000000">
              <a:alpha val="38000"/>
            </a:srgbClr>
          </a:outerShdw>
        </a:effectLst>
      </xdr:spPr>
      <xdr:txBody>
        <a:bodyPr/>
        <a:lstStyle/>
        <a:p>
          <a:endParaRPr/>
        </a:p>
      </xdr:txBody>
    </xdr:sp>
    <xdr:clientData/>
  </xdr:twoCellAnchor>
  <xdr:twoCellAnchor>
    <xdr:from>
      <xdr:col>12</xdr:col>
      <xdr:colOff>381000</xdr:colOff>
      <xdr:row>47</xdr:row>
      <xdr:rowOff>19367</xdr:rowOff>
    </xdr:from>
    <xdr:to>
      <xdr:col>12</xdr:col>
      <xdr:colOff>381000</xdr:colOff>
      <xdr:row>48</xdr:row>
      <xdr:rowOff>295592</xdr:rowOff>
    </xdr:to>
    <xdr:sp macro="" textlink="">
      <xdr:nvSpPr>
        <xdr:cNvPr id="16" name="Straight Arrow Connector 3">
          <a:extLst>
            <a:ext uri="{FF2B5EF4-FFF2-40B4-BE49-F238E27FC236}">
              <a16:creationId xmlns:a16="http://schemas.microsoft.com/office/drawing/2014/main" id="{00000000-0008-0000-0300-000010000000}"/>
            </a:ext>
          </a:extLst>
        </xdr:cNvPr>
        <xdr:cNvSpPr/>
      </xdr:nvSpPr>
      <xdr:spPr>
        <a:xfrm>
          <a:off x="14947900" y="9656762"/>
          <a:ext cx="0" cy="466726"/>
        </a:xfrm>
        <a:prstGeom prst="line">
          <a:avLst/>
        </a:prstGeom>
        <a:noFill/>
        <a:ln w="25400" cap="flat">
          <a:solidFill>
            <a:srgbClr val="FF0000"/>
          </a:solidFill>
          <a:prstDash val="solid"/>
          <a:round/>
          <a:tailEnd type="triangle" w="med" len="med"/>
        </a:ln>
        <a:effectLst>
          <a:outerShdw blurRad="38100" dist="20000" dir="5400000" rotWithShape="0">
            <a:srgbClr val="000000">
              <a:alpha val="38000"/>
            </a:srgbClr>
          </a:outerShdw>
        </a:effectLst>
      </xdr:spPr>
      <xdr:txBody>
        <a:bodyPr/>
        <a:lstStyle/>
        <a:p>
          <a:endParaRPr/>
        </a:p>
      </xdr:txBody>
    </xdr:sp>
    <xdr:clientData/>
  </xdr:twoCellAnchor>
  <xdr:twoCellAnchor>
    <xdr:from>
      <xdr:col>12</xdr:col>
      <xdr:colOff>552449</xdr:colOff>
      <xdr:row>28</xdr:row>
      <xdr:rowOff>11714</xdr:rowOff>
    </xdr:from>
    <xdr:to>
      <xdr:col>12</xdr:col>
      <xdr:colOff>714533</xdr:colOff>
      <xdr:row>32</xdr:row>
      <xdr:rowOff>390842</xdr:rowOff>
    </xdr:to>
    <xdr:sp macro="" textlink="">
      <xdr:nvSpPr>
        <xdr:cNvPr id="17" name="Straight Arrow Connector 5">
          <a:extLst>
            <a:ext uri="{FF2B5EF4-FFF2-40B4-BE49-F238E27FC236}">
              <a16:creationId xmlns:a16="http://schemas.microsoft.com/office/drawing/2014/main" id="{00000000-0008-0000-0300-000011000000}"/>
            </a:ext>
          </a:extLst>
        </xdr:cNvPr>
        <xdr:cNvSpPr/>
      </xdr:nvSpPr>
      <xdr:spPr>
        <a:xfrm flipH="1">
          <a:off x="15119349" y="5705759"/>
          <a:ext cx="162085" cy="1179229"/>
        </a:xfrm>
        <a:prstGeom prst="line">
          <a:avLst/>
        </a:prstGeom>
        <a:noFill/>
        <a:ln w="25400" cap="flat">
          <a:solidFill>
            <a:srgbClr val="FF0000"/>
          </a:solidFill>
          <a:prstDash val="solid"/>
          <a:round/>
          <a:tailEnd type="triangle" w="med" len="med"/>
        </a:ln>
        <a:effectLst>
          <a:outerShdw blurRad="38100" dist="20000" dir="5400000" rotWithShape="0">
            <a:srgbClr val="000000">
              <a:alpha val="38000"/>
            </a:srgbClr>
          </a:outerShdw>
        </a:effectLst>
      </xdr:spPr>
      <xdr:txBody>
        <a:bodyPr/>
        <a:lstStyle/>
        <a:p>
          <a:endParaRPr/>
        </a:p>
      </xdr:txBody>
    </xdr:sp>
    <xdr:clientData/>
  </xdr:twoCellAnchor>
  <xdr:twoCellAnchor>
    <xdr:from>
      <xdr:col>5</xdr:col>
      <xdr:colOff>447675</xdr:colOff>
      <xdr:row>18</xdr:row>
      <xdr:rowOff>19367</xdr:rowOff>
    </xdr:from>
    <xdr:to>
      <xdr:col>5</xdr:col>
      <xdr:colOff>447675</xdr:colOff>
      <xdr:row>19</xdr:row>
      <xdr:rowOff>181292</xdr:rowOff>
    </xdr:to>
    <xdr:sp macro="" textlink="">
      <xdr:nvSpPr>
        <xdr:cNvPr id="18" name="Straight Arrow Connector 6">
          <a:extLst>
            <a:ext uri="{FF2B5EF4-FFF2-40B4-BE49-F238E27FC236}">
              <a16:creationId xmlns:a16="http://schemas.microsoft.com/office/drawing/2014/main" id="{00000000-0008-0000-0300-000012000000}"/>
            </a:ext>
          </a:extLst>
        </xdr:cNvPr>
        <xdr:cNvSpPr/>
      </xdr:nvSpPr>
      <xdr:spPr>
        <a:xfrm>
          <a:off x="7623175" y="3713162"/>
          <a:ext cx="0" cy="361951"/>
        </a:xfrm>
        <a:prstGeom prst="line">
          <a:avLst/>
        </a:prstGeom>
        <a:noFill/>
        <a:ln w="25400" cap="flat">
          <a:solidFill>
            <a:srgbClr val="FF0000"/>
          </a:solidFill>
          <a:prstDash val="solid"/>
          <a:round/>
          <a:tailEnd type="triangle" w="med" len="med"/>
        </a:ln>
        <a:effectLst>
          <a:outerShdw blurRad="38100" dist="20000" dir="5400000" rotWithShape="0">
            <a:srgbClr val="000000">
              <a:alpha val="38000"/>
            </a:srgbClr>
          </a:outerShdw>
        </a:effectLst>
      </xdr:spPr>
      <xdr:txBody>
        <a:bodyPr/>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546100</xdr:colOff>
      <xdr:row>16</xdr:row>
      <xdr:rowOff>12700</xdr:rowOff>
    </xdr:from>
    <xdr:to>
      <xdr:col>4</xdr:col>
      <xdr:colOff>546100</xdr:colOff>
      <xdr:row>17</xdr:row>
      <xdr:rowOff>292100</xdr:rowOff>
    </xdr:to>
    <xdr:sp macro="" textlink="">
      <xdr:nvSpPr>
        <xdr:cNvPr id="20" name="Straight Connector 18">
          <a:extLst>
            <a:ext uri="{FF2B5EF4-FFF2-40B4-BE49-F238E27FC236}">
              <a16:creationId xmlns:a16="http://schemas.microsoft.com/office/drawing/2014/main" id="{00000000-0008-0000-0400-000014000000}"/>
            </a:ext>
          </a:extLst>
        </xdr:cNvPr>
        <xdr:cNvSpPr/>
      </xdr:nvSpPr>
      <xdr:spPr>
        <a:xfrm>
          <a:off x="8280400" y="3327400"/>
          <a:ext cx="0" cy="469900"/>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twoCellAnchor>
    <xdr:from>
      <xdr:col>4</xdr:col>
      <xdr:colOff>546100</xdr:colOff>
      <xdr:row>31</xdr:row>
      <xdr:rowOff>0</xdr:rowOff>
    </xdr:from>
    <xdr:to>
      <xdr:col>4</xdr:col>
      <xdr:colOff>546100</xdr:colOff>
      <xdr:row>33</xdr:row>
      <xdr:rowOff>304799</xdr:rowOff>
    </xdr:to>
    <xdr:sp macro="" textlink="">
      <xdr:nvSpPr>
        <xdr:cNvPr id="21" name="Straight Connector 18">
          <a:extLst>
            <a:ext uri="{FF2B5EF4-FFF2-40B4-BE49-F238E27FC236}">
              <a16:creationId xmlns:a16="http://schemas.microsoft.com/office/drawing/2014/main" id="{00000000-0008-0000-0400-000015000000}"/>
            </a:ext>
          </a:extLst>
        </xdr:cNvPr>
        <xdr:cNvSpPr/>
      </xdr:nvSpPr>
      <xdr:spPr>
        <a:xfrm>
          <a:off x="8280400" y="6410325"/>
          <a:ext cx="0" cy="771525"/>
        </a:xfrm>
        <a:prstGeom prst="line">
          <a:avLst/>
        </a:prstGeom>
        <a:noFill/>
        <a:ln w="25400" cap="flat">
          <a:solidFill>
            <a:srgbClr val="FF0000"/>
          </a:solidFill>
          <a:prstDash val="solid"/>
          <a:round/>
          <a:tailEnd type="triangle" w="med" len="med"/>
        </a:ln>
        <a:effectLst>
          <a:outerShdw blurRad="38100" dist="20000" dir="5400000" rotWithShape="0">
            <a:srgbClr val="808080">
              <a:alpha val="37999"/>
            </a:srgbClr>
          </a:outerShdw>
        </a:effectLst>
      </xdr:spPr>
      <xdr:txBody>
        <a:bodyPr/>
        <a:lstStyle/>
        <a:p>
          <a:endParaRP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8"/>
  <sheetViews>
    <sheetView showGridLines="0" workbookViewId="0"/>
  </sheetViews>
  <sheetFormatPr baseColWidth="10" defaultColWidth="10" defaultRowHeight="12.95" customHeight="1"/>
  <cols>
    <col min="1" max="1" width="2" customWidth="1"/>
    <col min="2" max="4" width="30.5703125" customWidth="1"/>
  </cols>
  <sheetData>
    <row r="3" spans="2:4" ht="0" hidden="1" customHeight="1">
      <c r="B3" s="420" t="s">
        <v>0</v>
      </c>
      <c r="C3" s="421"/>
      <c r="D3" s="421"/>
    </row>
    <row r="7" spans="2:4" ht="18.75">
      <c r="B7" s="1" t="s">
        <v>1</v>
      </c>
      <c r="C7" s="1" t="s">
        <v>2</v>
      </c>
      <c r="D7" s="1" t="s">
        <v>3</v>
      </c>
    </row>
    <row r="9" spans="2:4" ht="15.75">
      <c r="B9" s="2" t="s">
        <v>4</v>
      </c>
      <c r="C9" s="2"/>
      <c r="D9" s="2"/>
    </row>
    <row r="10" spans="2:4" ht="15.75">
      <c r="B10" s="3"/>
      <c r="C10" s="3" t="s">
        <v>5</v>
      </c>
      <c r="D10" s="4" t="s">
        <v>4</v>
      </c>
    </row>
    <row r="11" spans="2:4" ht="15.75">
      <c r="B11" s="2" t="s">
        <v>15</v>
      </c>
      <c r="C11" s="2"/>
      <c r="D11" s="2"/>
    </row>
    <row r="12" spans="2:4" ht="15.75">
      <c r="B12" s="3"/>
      <c r="C12" s="3" t="s">
        <v>5</v>
      </c>
      <c r="D12" s="4" t="s">
        <v>15</v>
      </c>
    </row>
    <row r="13" spans="2:4" ht="15.75">
      <c r="B13" s="2" t="s">
        <v>161</v>
      </c>
      <c r="C13" s="2"/>
      <c r="D13" s="2"/>
    </row>
    <row r="14" spans="2:4" ht="15.75">
      <c r="B14" s="3"/>
      <c r="C14" s="3" t="s">
        <v>5</v>
      </c>
      <c r="D14" s="4" t="s">
        <v>161</v>
      </c>
    </row>
    <row r="15" spans="2:4" ht="15.75">
      <c r="B15" s="2" t="s">
        <v>247</v>
      </c>
      <c r="C15" s="2"/>
      <c r="D15" s="2"/>
    </row>
    <row r="16" spans="2:4" ht="15.75">
      <c r="B16" s="3"/>
      <c r="C16" s="3" t="s">
        <v>5</v>
      </c>
      <c r="D16" s="4" t="s">
        <v>247</v>
      </c>
    </row>
    <row r="17" spans="2:4" ht="15.75">
      <c r="B17" s="2" t="s">
        <v>294</v>
      </c>
      <c r="C17" s="2"/>
      <c r="D17" s="2"/>
    </row>
    <row r="18" spans="2:4" ht="15.75">
      <c r="B18" s="3"/>
      <c r="C18" s="3" t="s">
        <v>5</v>
      </c>
      <c r="D18" s="4" t="s">
        <v>294</v>
      </c>
    </row>
  </sheetData>
  <mergeCells count="1">
    <mergeCell ref="B3:D3"/>
  </mergeCells>
  <hyperlinks>
    <hyperlink ref="D10" location="'Parameters'!R1C1" display="Parameters" xr:uid="{00000000-0004-0000-0000-000000000000}"/>
    <hyperlink ref="D12" location="'L1Calo_Phase_I'!R1C1" display="L1Calo_Phase_I" xr:uid="{00000000-0004-0000-0000-000001000000}"/>
    <hyperlink ref="D14" location="'L1Muon_Phase_I'!R1C1" display="L1Muon_Phase_I" xr:uid="{00000000-0004-0000-0000-000002000000}"/>
    <hyperlink ref="D16" location="'L1Topo_and_CTP_Phase_I'!R1C1" display="L1Topo_and_CTP_Phase_I" xr:uid="{00000000-0004-0000-0000-000003000000}"/>
    <hyperlink ref="D18" location="'Contacts'!R1C1" display="Contacts" xr:uid="{00000000-0004-0000-0000-000004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GridLines="0" workbookViewId="0"/>
  </sheetViews>
  <sheetFormatPr baseColWidth="10" defaultColWidth="8.85546875" defaultRowHeight="15" customHeight="1"/>
  <cols>
    <col min="1" max="1" width="18.140625" style="5" customWidth="1"/>
    <col min="2" max="5" width="8.85546875" style="5" customWidth="1"/>
    <col min="6" max="6" width="19.42578125" style="5" customWidth="1"/>
    <col min="7" max="8" width="8.85546875" style="5" customWidth="1"/>
    <col min="9" max="16384" width="8.85546875" style="5"/>
  </cols>
  <sheetData>
    <row r="1" spans="1:7" ht="13.5" customHeight="1">
      <c r="A1" s="6" t="s">
        <v>6</v>
      </c>
      <c r="B1" s="7">
        <v>24.95</v>
      </c>
      <c r="C1" s="6" t="s">
        <v>7</v>
      </c>
      <c r="D1" s="8"/>
      <c r="E1" s="8"/>
      <c r="F1" s="6" t="s">
        <v>8</v>
      </c>
      <c r="G1" s="9">
        <v>76.3</v>
      </c>
    </row>
    <row r="2" spans="1:7" ht="13.5" customHeight="1">
      <c r="A2" s="8"/>
      <c r="B2" s="8"/>
      <c r="C2" s="8"/>
      <c r="D2" s="8"/>
      <c r="E2" s="8"/>
      <c r="F2" s="8"/>
      <c r="G2" s="9"/>
    </row>
    <row r="3" spans="1:7" ht="13.5" customHeight="1">
      <c r="A3" s="6" t="s">
        <v>9</v>
      </c>
      <c r="B3" s="7" t="b">
        <v>0</v>
      </c>
      <c r="C3" s="8"/>
      <c r="D3" s="8"/>
      <c r="E3" s="8"/>
      <c r="F3" s="8"/>
      <c r="G3" s="8"/>
    </row>
    <row r="4" spans="1:7" ht="13.5" customHeight="1">
      <c r="A4" s="6" t="s">
        <v>10</v>
      </c>
      <c r="B4" s="7" t="b">
        <v>1</v>
      </c>
      <c r="C4" s="8"/>
      <c r="D4" s="8"/>
      <c r="E4" s="8"/>
      <c r="F4" s="8"/>
      <c r="G4" s="8"/>
    </row>
    <row r="5" spans="1:7" ht="13.5" customHeight="1">
      <c r="A5" s="8"/>
      <c r="B5" s="8"/>
      <c r="C5" s="8"/>
      <c r="D5" s="8"/>
      <c r="E5" s="8"/>
      <c r="F5" s="8"/>
      <c r="G5" s="8"/>
    </row>
    <row r="6" spans="1:7" ht="13.5" customHeight="1">
      <c r="A6" s="6" t="s">
        <v>11</v>
      </c>
      <c r="B6" s="7" t="b">
        <v>1</v>
      </c>
      <c r="C6" s="8"/>
      <c r="D6" s="8"/>
      <c r="E6" s="8"/>
      <c r="F6" s="8"/>
      <c r="G6" s="8"/>
    </row>
    <row r="7" spans="1:7" ht="13.5" customHeight="1">
      <c r="A7" s="6" t="s">
        <v>12</v>
      </c>
      <c r="B7" s="7" t="b">
        <v>0</v>
      </c>
      <c r="C7" s="8"/>
      <c r="D7" s="8"/>
      <c r="E7" s="8"/>
      <c r="F7" s="8"/>
      <c r="G7" s="8"/>
    </row>
    <row r="8" spans="1:7" ht="13.5" customHeight="1">
      <c r="A8" s="8"/>
      <c r="B8" s="8"/>
      <c r="C8" s="8"/>
      <c r="D8" s="8"/>
      <c r="E8" s="8"/>
      <c r="F8" s="8"/>
      <c r="G8" s="8"/>
    </row>
    <row r="9" spans="1:7" ht="13.5" customHeight="1">
      <c r="A9" s="6" t="s">
        <v>13</v>
      </c>
      <c r="B9" s="8"/>
      <c r="C9" s="8"/>
      <c r="D9" s="8"/>
      <c r="E9" s="8"/>
      <c r="F9" s="8"/>
      <c r="G9" s="8"/>
    </row>
    <row r="10" spans="1:7" ht="13.5" customHeight="1">
      <c r="A10" s="6" t="s">
        <v>14</v>
      </c>
      <c r="B10" s="7" t="b">
        <v>0</v>
      </c>
      <c r="C10" s="8"/>
      <c r="D10" s="8"/>
      <c r="E10" s="8"/>
      <c r="F10" s="8"/>
      <c r="G10" s="8"/>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1"/>
  <sheetViews>
    <sheetView showGridLines="0" tabSelected="1" topLeftCell="F37" workbookViewId="0">
      <selection activeCell="P55" sqref="P55"/>
    </sheetView>
  </sheetViews>
  <sheetFormatPr baseColWidth="10" defaultColWidth="11.42578125" defaultRowHeight="15" customHeight="1"/>
  <cols>
    <col min="1" max="1" width="12.28515625" style="10" customWidth="1"/>
    <col min="2" max="2" width="53.42578125" style="10" customWidth="1"/>
    <col min="3" max="3" width="8" style="10" customWidth="1"/>
    <col min="4" max="6" width="11.42578125" style="10" customWidth="1"/>
    <col min="7" max="7" width="20.42578125" style="10" customWidth="1"/>
    <col min="8" max="8" width="56.28515625" style="10" customWidth="1"/>
    <col min="9" max="9" width="11.140625" style="10" customWidth="1"/>
    <col min="10" max="10" width="10.85546875" style="10" customWidth="1"/>
    <col min="11" max="13" width="11.42578125" style="10" customWidth="1"/>
    <col min="14" max="14" width="15.28515625" style="10" customWidth="1"/>
    <col min="15" max="15" width="26.140625" style="10" customWidth="1"/>
    <col min="16" max="16" width="11.42578125" style="10" customWidth="1"/>
    <col min="17" max="17" width="12.7109375" style="10" customWidth="1"/>
    <col min="18" max="21" width="11.42578125" style="10" customWidth="1"/>
    <col min="22" max="16384" width="11.42578125" style="10"/>
  </cols>
  <sheetData>
    <row r="1" spans="1:20" ht="15" customHeight="1">
      <c r="A1" s="11"/>
      <c r="B1" s="11"/>
      <c r="C1" s="11"/>
      <c r="D1" s="11"/>
      <c r="E1" s="11"/>
      <c r="F1" s="11"/>
      <c r="G1" s="11"/>
      <c r="H1" s="11"/>
      <c r="I1" s="11"/>
      <c r="J1" s="11"/>
      <c r="K1" s="11"/>
      <c r="L1" s="11"/>
      <c r="M1" s="11"/>
      <c r="N1" s="11"/>
      <c r="O1" s="11"/>
      <c r="P1" s="11"/>
      <c r="Q1" s="11"/>
      <c r="R1" s="11"/>
      <c r="S1" s="11"/>
      <c r="T1" s="11"/>
    </row>
    <row r="2" spans="1:20" ht="24" customHeight="1">
      <c r="A2" s="11"/>
      <c r="B2" s="12" t="s">
        <v>16</v>
      </c>
      <c r="C2" s="13"/>
      <c r="D2" s="14"/>
      <c r="E2" s="14"/>
      <c r="F2" s="14"/>
      <c r="G2" s="11"/>
      <c r="H2" s="12" t="s">
        <v>17</v>
      </c>
      <c r="I2" s="13"/>
      <c r="J2" s="14"/>
      <c r="K2" s="14"/>
      <c r="L2" s="14"/>
      <c r="M2" s="11"/>
      <c r="N2" s="11"/>
      <c r="O2" s="11"/>
      <c r="P2" s="11"/>
      <c r="Q2" s="11"/>
      <c r="R2" s="11"/>
      <c r="S2" s="11"/>
      <c r="T2" s="11"/>
    </row>
    <row r="3" spans="1:20" ht="15.75" customHeight="1">
      <c r="A3" s="15"/>
      <c r="B3" s="16"/>
      <c r="C3" s="17" t="s">
        <v>18</v>
      </c>
      <c r="D3" s="17" t="s">
        <v>19</v>
      </c>
      <c r="E3" s="17" t="s">
        <v>20</v>
      </c>
      <c r="F3" s="18" t="s">
        <v>21</v>
      </c>
      <c r="G3" s="19"/>
      <c r="H3" s="20"/>
      <c r="I3" s="21" t="s">
        <v>18</v>
      </c>
      <c r="J3" s="22" t="s">
        <v>19</v>
      </c>
      <c r="K3" s="22" t="s">
        <v>20</v>
      </c>
      <c r="L3" s="23" t="s">
        <v>21</v>
      </c>
      <c r="M3" s="24"/>
      <c r="N3" s="11"/>
      <c r="O3" s="11"/>
      <c r="P3" s="11"/>
      <c r="Q3" s="11"/>
      <c r="R3" s="11"/>
      <c r="S3" s="11"/>
      <c r="T3" s="11"/>
    </row>
    <row r="4" spans="1:20" ht="15.75" customHeight="1">
      <c r="A4" s="15"/>
      <c r="B4" s="25" t="s">
        <v>22</v>
      </c>
      <c r="C4" s="26">
        <f>Parameters!$B$1*D4</f>
        <v>14.969999999999999</v>
      </c>
      <c r="D4" s="27">
        <v>0.6</v>
      </c>
      <c r="E4" s="27"/>
      <c r="F4" s="28"/>
      <c r="G4" s="19"/>
      <c r="H4" s="25" t="s">
        <v>22</v>
      </c>
      <c r="I4" s="26">
        <f>Parameters!$B$1*J4</f>
        <v>14.969999999999999</v>
      </c>
      <c r="J4" s="27">
        <v>0.6</v>
      </c>
      <c r="K4" s="27"/>
      <c r="L4" s="28"/>
      <c r="M4" s="24"/>
      <c r="N4" s="11"/>
      <c r="O4" s="11"/>
      <c r="P4" s="11"/>
      <c r="Q4" s="11"/>
      <c r="R4" s="11"/>
      <c r="S4" s="11"/>
      <c r="T4" s="11"/>
    </row>
    <row r="5" spans="1:20" ht="15.75" customHeight="1">
      <c r="A5" s="15"/>
      <c r="B5" s="29" t="s">
        <v>23</v>
      </c>
      <c r="C5" s="30">
        <f>Parameters!$B$1*D5</f>
        <v>29.939999999999998</v>
      </c>
      <c r="D5" s="31">
        <v>1.2</v>
      </c>
      <c r="E5" s="31"/>
      <c r="F5" s="32"/>
      <c r="G5" s="19"/>
      <c r="H5" s="29" t="s">
        <v>23</v>
      </c>
      <c r="I5" s="30">
        <f>Parameters!$B$1*J5</f>
        <v>29.939999999999998</v>
      </c>
      <c r="J5" s="31">
        <v>1.2</v>
      </c>
      <c r="K5" s="31"/>
      <c r="L5" s="32"/>
      <c r="M5" s="24"/>
      <c r="N5" s="11"/>
      <c r="O5" s="11"/>
      <c r="P5" s="11"/>
      <c r="Q5" s="11"/>
      <c r="R5" s="11"/>
      <c r="S5" s="11"/>
      <c r="T5" s="11"/>
    </row>
    <row r="6" spans="1:20" ht="15.75" customHeight="1">
      <c r="A6" s="15"/>
      <c r="B6" s="29" t="s">
        <v>24</v>
      </c>
      <c r="C6" s="30">
        <f>Parameters!$B$1*D6</f>
        <v>9.98</v>
      </c>
      <c r="D6" s="33">
        <v>0.4</v>
      </c>
      <c r="E6" s="31"/>
      <c r="F6" s="32"/>
      <c r="G6" s="19"/>
      <c r="H6" s="29" t="s">
        <v>24</v>
      </c>
      <c r="I6" s="30">
        <f>Parameters!$B$1*J6</f>
        <v>9.98</v>
      </c>
      <c r="J6" s="33">
        <v>0.4</v>
      </c>
      <c r="K6" s="31"/>
      <c r="L6" s="32"/>
      <c r="M6" s="24"/>
      <c r="N6" s="11"/>
      <c r="O6" s="11"/>
      <c r="P6" s="11"/>
      <c r="Q6" s="11"/>
      <c r="R6" s="11"/>
      <c r="S6" s="11"/>
      <c r="T6" s="11"/>
    </row>
    <row r="7" spans="1:20" ht="15.75" customHeight="1">
      <c r="A7" s="15"/>
      <c r="B7" s="34"/>
      <c r="C7" s="30"/>
      <c r="D7" s="31"/>
      <c r="E7" s="31">
        <f>SUM(D4:D6)</f>
        <v>2.1999999999999997</v>
      </c>
      <c r="F7" s="35">
        <f>E7</f>
        <v>2.1999999999999997</v>
      </c>
      <c r="G7" s="19"/>
      <c r="H7" s="34"/>
      <c r="I7" s="30"/>
      <c r="J7" s="31"/>
      <c r="K7" s="36">
        <f>SUM(J4:J6)</f>
        <v>2.1999999999999997</v>
      </c>
      <c r="L7" s="37">
        <f>K7</f>
        <v>2.1999999999999997</v>
      </c>
      <c r="M7" s="24"/>
      <c r="N7" s="11"/>
      <c r="O7" s="11"/>
      <c r="P7" s="11"/>
      <c r="Q7" s="11"/>
      <c r="R7" s="11"/>
      <c r="S7" s="11"/>
      <c r="T7" s="11"/>
    </row>
    <row r="8" spans="1:20" ht="15.75" customHeight="1">
      <c r="A8" s="15"/>
      <c r="B8" s="38" t="s">
        <v>25</v>
      </c>
      <c r="C8" s="39">
        <f>Parameters!$B$1*D8</f>
        <v>49.9</v>
      </c>
      <c r="D8" s="40">
        <v>2</v>
      </c>
      <c r="E8" s="40"/>
      <c r="F8" s="41"/>
      <c r="G8" s="19"/>
      <c r="H8" s="38" t="s">
        <v>26</v>
      </c>
      <c r="I8" s="39">
        <f>Parameters!$B$1*J8</f>
        <v>199.6</v>
      </c>
      <c r="J8" s="40">
        <v>8</v>
      </c>
      <c r="K8" s="40"/>
      <c r="L8" s="41"/>
      <c r="M8" s="24"/>
      <c r="N8" s="11"/>
      <c r="O8" s="11"/>
      <c r="P8" s="11"/>
      <c r="Q8" s="11"/>
      <c r="R8" s="11"/>
      <c r="S8" s="11"/>
      <c r="T8" s="11"/>
    </row>
    <row r="9" spans="1:20" ht="15.75" customHeight="1">
      <c r="A9" s="15"/>
      <c r="B9" s="38" t="s">
        <v>27</v>
      </c>
      <c r="C9" s="39">
        <f>Parameters!$B$1*D9</f>
        <v>4.99</v>
      </c>
      <c r="D9" s="40">
        <v>0.2</v>
      </c>
      <c r="E9" s="40"/>
      <c r="F9" s="41"/>
      <c r="G9" s="19"/>
      <c r="H9" s="38" t="s">
        <v>28</v>
      </c>
      <c r="I9" s="39">
        <f>Parameters!$B$1*J9</f>
        <v>24.95</v>
      </c>
      <c r="J9" s="40">
        <v>1</v>
      </c>
      <c r="K9" s="40"/>
      <c r="L9" s="41"/>
      <c r="M9" s="24"/>
      <c r="N9" s="11"/>
      <c r="O9" s="11"/>
      <c r="P9" s="11"/>
      <c r="Q9" s="11"/>
      <c r="R9" s="11"/>
      <c r="S9" s="11"/>
      <c r="T9" s="11"/>
    </row>
    <row r="10" spans="1:20" ht="15.75" customHeight="1">
      <c r="A10" s="15"/>
      <c r="B10" s="38" t="s">
        <v>29</v>
      </c>
      <c r="C10" s="39">
        <f>Parameters!$B$1*D10</f>
        <v>9.98</v>
      </c>
      <c r="D10" s="42">
        <v>0.4</v>
      </c>
      <c r="E10" s="40"/>
      <c r="F10" s="41"/>
      <c r="G10" s="19"/>
      <c r="H10" s="38" t="s">
        <v>30</v>
      </c>
      <c r="I10" s="39">
        <f>Parameters!$B$1*J10</f>
        <v>49.9</v>
      </c>
      <c r="J10" s="40">
        <v>2</v>
      </c>
      <c r="K10" s="40"/>
      <c r="L10" s="41"/>
      <c r="M10" s="24"/>
      <c r="N10" s="11"/>
      <c r="O10" s="11"/>
      <c r="P10" s="11"/>
      <c r="Q10" s="11"/>
      <c r="R10" s="11"/>
      <c r="S10" s="11"/>
      <c r="T10" s="11"/>
    </row>
    <row r="11" spans="1:20" ht="15.75" customHeight="1">
      <c r="A11" s="15"/>
      <c r="B11" s="38" t="s">
        <v>31</v>
      </c>
      <c r="C11" s="39">
        <f>Parameters!$B$1*D11</f>
        <v>9.98</v>
      </c>
      <c r="D11" s="40">
        <v>0.4</v>
      </c>
      <c r="E11" s="40"/>
      <c r="F11" s="41"/>
      <c r="G11" s="19"/>
      <c r="H11" s="43" t="s">
        <v>32</v>
      </c>
      <c r="I11" s="44">
        <f>Parameters!$B$1*J11</f>
        <v>409.17999999999995</v>
      </c>
      <c r="J11" s="45">
        <v>16.399999999999999</v>
      </c>
      <c r="K11" s="40"/>
      <c r="L11" s="41"/>
      <c r="M11" s="24"/>
      <c r="N11" s="11"/>
      <c r="O11" s="11"/>
      <c r="P11" s="11"/>
      <c r="Q11" s="11"/>
      <c r="R11" s="11"/>
      <c r="S11" s="11"/>
      <c r="T11" s="11"/>
    </row>
    <row r="12" spans="1:20" ht="15.75" customHeight="1">
      <c r="A12" s="15"/>
      <c r="B12" s="38" t="s">
        <v>33</v>
      </c>
      <c r="C12" s="39">
        <f>Parameters!$B$1*D12</f>
        <v>349.3</v>
      </c>
      <c r="D12" s="40">
        <v>14</v>
      </c>
      <c r="E12" s="40">
        <f>SUM(D8:D12)</f>
        <v>17</v>
      </c>
      <c r="F12" s="46">
        <f>E12+F7</f>
        <v>19.2</v>
      </c>
      <c r="G12" s="19"/>
      <c r="H12" s="47"/>
      <c r="I12" s="39"/>
      <c r="J12" s="40"/>
      <c r="K12" s="48">
        <f>SUM(J8:J11)</f>
        <v>27.4</v>
      </c>
      <c r="L12" s="49">
        <f>K7+K12</f>
        <v>29.599999999999998</v>
      </c>
      <c r="M12" s="24"/>
      <c r="N12" s="11"/>
      <c r="O12" s="11"/>
      <c r="P12" s="11"/>
      <c r="Q12" s="11"/>
      <c r="R12" s="11"/>
      <c r="S12" s="11"/>
      <c r="T12" s="11"/>
    </row>
    <row r="13" spans="1:20" ht="15.75" customHeight="1">
      <c r="A13" s="15"/>
      <c r="B13" s="38" t="s">
        <v>34</v>
      </c>
      <c r="C13" s="39">
        <v>25</v>
      </c>
      <c r="D13" s="40">
        <f>C13/Parameters!$B$1</f>
        <v>1.0020040080160322</v>
      </c>
      <c r="E13" s="40"/>
      <c r="F13" s="41"/>
      <c r="G13" s="19"/>
      <c r="H13" s="50" t="s">
        <v>35</v>
      </c>
      <c r="I13" s="51">
        <f>Parameters!$B$1*J13</f>
        <v>49.9</v>
      </c>
      <c r="J13" s="52">
        <v>2</v>
      </c>
      <c r="K13" s="52"/>
      <c r="L13" s="53"/>
      <c r="M13" s="54" t="s">
        <v>36</v>
      </c>
      <c r="N13" s="11"/>
      <c r="O13" s="11"/>
      <c r="P13" s="11"/>
      <c r="Q13" s="11"/>
      <c r="R13" s="11"/>
      <c r="S13" s="11"/>
      <c r="T13" s="11"/>
    </row>
    <row r="14" spans="1:20" ht="15.75" customHeight="1">
      <c r="A14" s="15"/>
      <c r="B14" s="38" t="s">
        <v>37</v>
      </c>
      <c r="C14" s="39">
        <v>58</v>
      </c>
      <c r="D14" s="40">
        <f>C14/Parameters!$B$1</f>
        <v>2.3246492985971945</v>
      </c>
      <c r="E14" s="40"/>
      <c r="F14" s="41"/>
      <c r="G14" s="19"/>
      <c r="H14" s="50" t="s">
        <v>38</v>
      </c>
      <c r="I14" s="51">
        <v>75</v>
      </c>
      <c r="J14" s="52">
        <v>2.63</v>
      </c>
      <c r="K14" s="52"/>
      <c r="L14" s="53"/>
      <c r="M14" s="54" t="s">
        <v>36</v>
      </c>
      <c r="N14" s="11"/>
      <c r="O14" s="11"/>
      <c r="P14" s="11"/>
      <c r="Q14" s="11"/>
      <c r="R14" s="11"/>
      <c r="S14" s="11"/>
      <c r="T14" s="11"/>
    </row>
    <row r="15" spans="1:20" ht="14.1" customHeight="1">
      <c r="A15" s="15"/>
      <c r="B15" s="55"/>
      <c r="C15" s="56"/>
      <c r="D15" s="57"/>
      <c r="E15" s="57">
        <f>SUM(D8:D14)</f>
        <v>20.326653306613228</v>
      </c>
      <c r="F15" s="58">
        <f>F7+E15</f>
        <v>22.526653306613227</v>
      </c>
      <c r="G15" s="59" t="s">
        <v>39</v>
      </c>
      <c r="H15" s="50" t="s">
        <v>40</v>
      </c>
      <c r="I15" s="51">
        <v>38</v>
      </c>
      <c r="J15" s="52">
        <v>1.75</v>
      </c>
      <c r="K15" s="52"/>
      <c r="L15" s="53"/>
      <c r="M15" s="54" t="s">
        <v>36</v>
      </c>
      <c r="N15" s="11"/>
      <c r="O15" s="11"/>
      <c r="P15" s="11"/>
      <c r="Q15" s="11"/>
      <c r="R15" s="11"/>
      <c r="S15" s="11"/>
      <c r="T15" s="11"/>
    </row>
    <row r="16" spans="1:20" ht="15.75" customHeight="1">
      <c r="A16" s="11"/>
      <c r="B16" s="60"/>
      <c r="C16" s="60"/>
      <c r="D16" s="60"/>
      <c r="E16" s="60"/>
      <c r="F16" s="60"/>
      <c r="G16" s="15"/>
      <c r="H16" s="50" t="s">
        <v>41</v>
      </c>
      <c r="I16" s="51">
        <f>Parameters!$B$1*J16</f>
        <v>112.27499999999999</v>
      </c>
      <c r="J16" s="52">
        <v>4.5</v>
      </c>
      <c r="K16" s="52"/>
      <c r="L16" s="53"/>
      <c r="M16" s="54" t="s">
        <v>36</v>
      </c>
      <c r="N16" s="11"/>
      <c r="O16" s="11"/>
      <c r="P16" s="11"/>
      <c r="Q16" s="11"/>
      <c r="R16" s="11"/>
      <c r="S16" s="11"/>
      <c r="T16" s="11"/>
    </row>
    <row r="17" spans="1:20" ht="24" customHeight="1">
      <c r="A17" s="11"/>
      <c r="B17" s="12" t="s">
        <v>42</v>
      </c>
      <c r="C17" s="13"/>
      <c r="D17" s="61"/>
      <c r="E17" s="61"/>
      <c r="F17" s="61"/>
      <c r="G17" s="15"/>
      <c r="H17" s="50" t="s">
        <v>43</v>
      </c>
      <c r="I17" s="51">
        <v>38</v>
      </c>
      <c r="J17" s="52">
        <v>2.5</v>
      </c>
      <c r="K17" s="52"/>
      <c r="L17" s="53"/>
      <c r="M17" s="54" t="s">
        <v>44</v>
      </c>
      <c r="N17" s="11"/>
      <c r="O17" s="12" t="s">
        <v>45</v>
      </c>
      <c r="P17" s="62"/>
      <c r="Q17" s="61"/>
      <c r="R17" s="61"/>
      <c r="S17" s="63"/>
      <c r="T17" s="11"/>
    </row>
    <row r="18" spans="1:20" ht="21.75" customHeight="1">
      <c r="A18" s="64"/>
      <c r="B18" s="65"/>
      <c r="C18" s="66" t="s">
        <v>18</v>
      </c>
      <c r="D18" s="66" t="s">
        <v>19</v>
      </c>
      <c r="E18" s="66" t="s">
        <v>20</v>
      </c>
      <c r="F18" s="23" t="s">
        <v>21</v>
      </c>
      <c r="G18" s="19"/>
      <c r="H18" s="50" t="s">
        <v>46</v>
      </c>
      <c r="I18" s="51">
        <v>50</v>
      </c>
      <c r="J18" s="67">
        <v>2</v>
      </c>
      <c r="K18" s="52">
        <f>SUM(J13:J18)</f>
        <v>15.379999999999999</v>
      </c>
      <c r="L18" s="53"/>
      <c r="M18" s="54" t="s">
        <v>44</v>
      </c>
      <c r="N18" s="15"/>
      <c r="O18" s="65"/>
      <c r="P18" s="66" t="s">
        <v>47</v>
      </c>
      <c r="Q18" s="66" t="s">
        <v>18</v>
      </c>
      <c r="R18" s="68" t="s">
        <v>19</v>
      </c>
      <c r="S18" s="69"/>
      <c r="T18" s="11"/>
    </row>
    <row r="19" spans="1:20" ht="20.25" customHeight="1">
      <c r="A19" s="422" t="s">
        <v>48</v>
      </c>
      <c r="B19" s="70" t="s">
        <v>49</v>
      </c>
      <c r="C19" s="71"/>
      <c r="D19" s="72"/>
      <c r="E19" s="72"/>
      <c r="F19" s="73">
        <f>F15</f>
        <v>22.526653306613227</v>
      </c>
      <c r="G19" s="19"/>
      <c r="H19" s="43" t="s">
        <v>50</v>
      </c>
      <c r="I19" s="44">
        <f>Parameters!$B$1*J19</f>
        <v>63.372999999999998</v>
      </c>
      <c r="J19" s="45">
        <f>E64</f>
        <v>2.54</v>
      </c>
      <c r="K19" s="74">
        <f>SUM(K$18,J19)</f>
        <v>17.919999999999998</v>
      </c>
      <c r="L19" s="75">
        <f>L$12+K19</f>
        <v>47.519999999999996</v>
      </c>
      <c r="M19" s="54" t="s">
        <v>51</v>
      </c>
      <c r="N19" s="15"/>
      <c r="O19" s="76" t="s">
        <v>52</v>
      </c>
      <c r="P19" s="77"/>
      <c r="Q19" s="78"/>
      <c r="R19" s="79"/>
      <c r="S19" s="80"/>
      <c r="T19" s="11"/>
    </row>
    <row r="20" spans="1:20" ht="16.5" customHeight="1">
      <c r="A20" s="423"/>
      <c r="B20" s="38" t="s">
        <v>53</v>
      </c>
      <c r="C20" s="39">
        <f>Parameters!$B$1*D20</f>
        <v>359.28</v>
      </c>
      <c r="D20" s="40">
        <v>14.4</v>
      </c>
      <c r="E20" s="40"/>
      <c r="F20" s="41"/>
      <c r="G20" s="19"/>
      <c r="H20" s="43" t="s">
        <v>54</v>
      </c>
      <c r="I20" s="44">
        <f>Parameters!$B$1*J20</f>
        <v>63.372999999999998</v>
      </c>
      <c r="J20" s="45">
        <f>E65</f>
        <v>2.54</v>
      </c>
      <c r="K20" s="74">
        <f>SUM(K$18,J20)</f>
        <v>17.919999999999998</v>
      </c>
      <c r="L20" s="75">
        <f>L$12+K20</f>
        <v>47.519999999999996</v>
      </c>
      <c r="M20" s="54" t="s">
        <v>55</v>
      </c>
      <c r="N20" s="15"/>
      <c r="O20" s="43" t="s">
        <v>56</v>
      </c>
      <c r="P20" s="45">
        <v>15.6</v>
      </c>
      <c r="Q20" s="44">
        <f>5*P20</f>
        <v>78</v>
      </c>
      <c r="R20" s="82">
        <f>Q20/Parameters!B1</f>
        <v>3.1262525050100201</v>
      </c>
      <c r="S20" s="83" t="s">
        <v>57</v>
      </c>
      <c r="T20" s="84"/>
    </row>
    <row r="21" spans="1:20" ht="16.5" customHeight="1">
      <c r="A21" s="423"/>
      <c r="B21" s="43" t="s">
        <v>58</v>
      </c>
      <c r="C21" s="45">
        <f>Parameters!$B$1*D21</f>
        <v>54.89</v>
      </c>
      <c r="D21" s="85">
        <v>2.2000000000000002</v>
      </c>
      <c r="E21" s="40">
        <f>SUM(D20:D21)</f>
        <v>16.600000000000001</v>
      </c>
      <c r="F21" s="41">
        <f>F19+E21</f>
        <v>39.126653306613228</v>
      </c>
      <c r="G21" s="59" t="s">
        <v>59</v>
      </c>
      <c r="H21" s="43" t="s">
        <v>60</v>
      </c>
      <c r="I21" s="44">
        <f>Parameters!$B$1*J21</f>
        <v>66.866</v>
      </c>
      <c r="J21" s="45">
        <f>E66</f>
        <v>2.68</v>
      </c>
      <c r="K21" s="74">
        <f>SUM(K$18,J21)</f>
        <v>18.059999999999999</v>
      </c>
      <c r="L21" s="75">
        <f>L$12+K21</f>
        <v>47.66</v>
      </c>
      <c r="M21" s="54" t="s">
        <v>61</v>
      </c>
      <c r="N21" s="15"/>
      <c r="O21" s="43" t="s">
        <v>62</v>
      </c>
      <c r="P21" s="45">
        <v>16.2</v>
      </c>
      <c r="Q21" s="44">
        <f>5*P21</f>
        <v>81</v>
      </c>
      <c r="R21" s="82">
        <f>Q21/Parameters!B1</f>
        <v>3.246492985971944</v>
      </c>
      <c r="S21" s="83" t="s">
        <v>63</v>
      </c>
      <c r="T21" s="84"/>
    </row>
    <row r="22" spans="1:20" ht="16.5" customHeight="1">
      <c r="A22" s="423"/>
      <c r="B22" s="38" t="s">
        <v>64</v>
      </c>
      <c r="C22" s="40">
        <f>Parameters!$B$1*D22</f>
        <v>336.82499999999999</v>
      </c>
      <c r="D22" s="40">
        <v>13.5</v>
      </c>
      <c r="E22" s="40"/>
      <c r="F22" s="41"/>
      <c r="G22" s="19"/>
      <c r="H22" s="86"/>
      <c r="I22" s="87"/>
      <c r="J22" s="88"/>
      <c r="K22" s="89"/>
      <c r="L22" s="90"/>
      <c r="M22" s="24"/>
      <c r="N22" s="15"/>
      <c r="O22" s="91" t="s">
        <v>65</v>
      </c>
      <c r="P22" s="92">
        <v>18.37</v>
      </c>
      <c r="Q22" s="93">
        <f>5*P22</f>
        <v>91.850000000000009</v>
      </c>
      <c r="R22" s="94">
        <f>Q22/Parameters!B1</f>
        <v>3.681362725450902</v>
      </c>
      <c r="S22" s="83" t="s">
        <v>66</v>
      </c>
      <c r="T22" s="84"/>
    </row>
    <row r="23" spans="1:20" ht="15.75" customHeight="1">
      <c r="A23" s="423"/>
      <c r="B23" s="38" t="s">
        <v>67</v>
      </c>
      <c r="C23" s="40">
        <v>55</v>
      </c>
      <c r="D23" s="40">
        <v>2.2000000000000002</v>
      </c>
      <c r="E23" s="40"/>
      <c r="F23" s="41"/>
      <c r="G23" s="24"/>
      <c r="H23" s="60"/>
      <c r="I23" s="60"/>
      <c r="J23" s="60"/>
      <c r="K23" s="60"/>
      <c r="L23" s="60"/>
      <c r="M23" s="11"/>
      <c r="N23" s="11"/>
      <c r="O23" s="95" t="s">
        <v>68</v>
      </c>
      <c r="P23" s="96"/>
      <c r="Q23" s="96"/>
      <c r="R23" s="96"/>
      <c r="S23" s="97"/>
      <c r="T23" s="11"/>
    </row>
    <row r="24" spans="1:20" ht="15.75" customHeight="1">
      <c r="A24" s="423"/>
      <c r="B24" s="38" t="s">
        <v>69</v>
      </c>
      <c r="C24" s="40">
        <f>D24*Parameters!$B$1</f>
        <v>29.939999999999998</v>
      </c>
      <c r="D24" s="40">
        <v>1.2</v>
      </c>
      <c r="E24" s="48"/>
      <c r="F24" s="98"/>
      <c r="G24" s="99"/>
      <c r="H24" s="100"/>
      <c r="I24" s="100"/>
      <c r="J24" s="100"/>
      <c r="K24" s="100"/>
      <c r="L24" s="100"/>
      <c r="M24" s="11"/>
      <c r="N24" s="11"/>
      <c r="O24" s="11"/>
      <c r="P24" s="11"/>
      <c r="Q24" s="11"/>
      <c r="R24" s="11"/>
      <c r="S24" s="11"/>
      <c r="T24" s="11"/>
    </row>
    <row r="25" spans="1:20" ht="15.75" customHeight="1">
      <c r="A25" s="423"/>
      <c r="B25" s="38" t="s">
        <v>70</v>
      </c>
      <c r="C25" s="40">
        <f>Parameters!$B$1*D25</f>
        <v>54.89</v>
      </c>
      <c r="D25" s="40">
        <v>2.2000000000000002</v>
      </c>
      <c r="E25" s="40"/>
      <c r="F25" s="49"/>
      <c r="G25" s="24"/>
      <c r="H25" s="11"/>
      <c r="I25" s="11"/>
      <c r="J25" s="11"/>
      <c r="K25" s="11"/>
      <c r="L25" s="11"/>
      <c r="M25" s="11"/>
      <c r="N25" s="11"/>
      <c r="O25" s="11"/>
      <c r="P25" s="11"/>
      <c r="Q25" s="11"/>
      <c r="R25" s="11"/>
      <c r="S25" s="11"/>
      <c r="T25" s="11"/>
    </row>
    <row r="26" spans="1:20" ht="24" customHeight="1">
      <c r="A26" s="423"/>
      <c r="B26" s="43" t="s">
        <v>71</v>
      </c>
      <c r="C26" s="45">
        <f>Parameters!$B$1*D26</f>
        <v>49.9</v>
      </c>
      <c r="D26" s="45">
        <v>2</v>
      </c>
      <c r="E26" s="40">
        <f>SUM(D22:D26)</f>
        <v>21.099999999999998</v>
      </c>
      <c r="F26" s="49">
        <f>E21+F19+E26</f>
        <v>60.22665330661323</v>
      </c>
      <c r="G26" s="54" t="s">
        <v>72</v>
      </c>
      <c r="H26" s="12" t="s">
        <v>73</v>
      </c>
      <c r="I26" s="13"/>
      <c r="J26" s="61"/>
      <c r="K26" s="61"/>
      <c r="L26" s="61"/>
      <c r="M26" s="11"/>
      <c r="N26" s="11"/>
      <c r="O26" s="101" t="s">
        <v>74</v>
      </c>
      <c r="P26" s="102"/>
      <c r="Q26" s="102"/>
      <c r="R26" s="11"/>
      <c r="S26" s="11"/>
      <c r="T26" s="11"/>
    </row>
    <row r="27" spans="1:20" ht="16.5" customHeight="1">
      <c r="A27" s="81"/>
      <c r="B27" s="38" t="s">
        <v>75</v>
      </c>
      <c r="C27" s="40">
        <f>Parameters!$B$1*D27</f>
        <v>199.6</v>
      </c>
      <c r="D27" s="40">
        <v>8</v>
      </c>
      <c r="E27" s="40"/>
      <c r="F27" s="49"/>
      <c r="G27" s="19"/>
      <c r="H27" s="16"/>
      <c r="I27" s="17" t="s">
        <v>18</v>
      </c>
      <c r="J27" s="17" t="s">
        <v>19</v>
      </c>
      <c r="K27" s="17" t="s">
        <v>20</v>
      </c>
      <c r="L27" s="18" t="s">
        <v>21</v>
      </c>
      <c r="M27" s="24"/>
      <c r="N27" s="103"/>
      <c r="O27" s="104" t="s">
        <v>76</v>
      </c>
      <c r="P27" s="105" t="s">
        <v>77</v>
      </c>
      <c r="Q27" s="106" t="s">
        <v>78</v>
      </c>
      <c r="R27" s="107"/>
      <c r="S27" s="11"/>
      <c r="T27" s="11"/>
    </row>
    <row r="28" spans="1:20" ht="18.75" customHeight="1">
      <c r="A28" s="81"/>
      <c r="B28" s="108" t="s">
        <v>79</v>
      </c>
      <c r="C28" s="40">
        <f>Parameters!$B$1*D28</f>
        <v>54.89</v>
      </c>
      <c r="D28" s="40">
        <f t="shared" ref="D28:D52" si="0">5*11/25</f>
        <v>2.2000000000000002</v>
      </c>
      <c r="E28" s="40"/>
      <c r="F28" s="49"/>
      <c r="G28" s="19"/>
      <c r="H28" s="109" t="s">
        <v>80</v>
      </c>
      <c r="I28" s="110"/>
      <c r="J28" s="111"/>
      <c r="K28" s="111"/>
      <c r="L28" s="112">
        <f>MAX(L19,F40)</f>
        <v>47.519999999999996</v>
      </c>
      <c r="M28" s="24"/>
      <c r="N28" s="103"/>
      <c r="O28" s="113"/>
      <c r="P28" s="114">
        <f>F40</f>
        <v>46.826653306613224</v>
      </c>
      <c r="Q28" s="114">
        <f>L19</f>
        <v>47.519999999999996</v>
      </c>
      <c r="R28" s="11"/>
      <c r="S28" s="11"/>
      <c r="T28" s="11"/>
    </row>
    <row r="29" spans="1:20" ht="16.5" customHeight="1">
      <c r="A29" s="81"/>
      <c r="B29" s="38" t="s">
        <v>81</v>
      </c>
      <c r="C29" s="40">
        <f>Parameters!$B$1*D29</f>
        <v>49.9</v>
      </c>
      <c r="D29" s="40">
        <v>2</v>
      </c>
      <c r="E29" s="40"/>
      <c r="F29" s="49"/>
      <c r="G29" s="19"/>
      <c r="H29" s="115"/>
      <c r="I29" s="116"/>
      <c r="J29" s="117"/>
      <c r="K29" s="117"/>
      <c r="L29" s="118"/>
      <c r="M29" s="24"/>
      <c r="N29" s="11"/>
      <c r="O29" s="119"/>
      <c r="P29" s="119"/>
      <c r="Q29" s="119"/>
      <c r="R29" s="11"/>
      <c r="S29" s="11"/>
      <c r="T29" s="11"/>
    </row>
    <row r="30" spans="1:20" ht="15.75" customHeight="1">
      <c r="A30" s="81"/>
      <c r="B30" s="43" t="s">
        <v>82</v>
      </c>
      <c r="C30" s="45">
        <f>Parameters!$B$1*D30</f>
        <v>54.89</v>
      </c>
      <c r="D30" s="45">
        <f t="shared" si="0"/>
        <v>2.2000000000000002</v>
      </c>
      <c r="E30" s="40">
        <f>SUM(D22:D23,D27:D30)</f>
        <v>30.099999999999998</v>
      </c>
      <c r="F30" s="98">
        <f>SUM(F19,E21,E30)</f>
        <v>69.22665330661323</v>
      </c>
      <c r="G30" s="59" t="s">
        <v>83</v>
      </c>
      <c r="H30" s="120" t="s">
        <v>84</v>
      </c>
      <c r="I30" s="116">
        <f>Parameters!$B$1*J30</f>
        <v>64.87</v>
      </c>
      <c r="J30" s="121">
        <f>2.6</f>
        <v>2.6</v>
      </c>
      <c r="K30" s="121"/>
      <c r="L30" s="122"/>
      <c r="M30" s="54" t="s">
        <v>85</v>
      </c>
      <c r="N30" s="11"/>
      <c r="O30" s="11"/>
      <c r="P30" s="11"/>
      <c r="Q30" s="11"/>
      <c r="R30" s="11"/>
      <c r="S30" s="11"/>
      <c r="T30" s="11"/>
    </row>
    <row r="31" spans="1:20" ht="15.75" customHeight="1">
      <c r="A31" s="123"/>
      <c r="B31" s="115"/>
      <c r="C31" s="116"/>
      <c r="D31" s="117"/>
      <c r="E31" s="117"/>
      <c r="F31" s="124"/>
      <c r="G31" s="19"/>
      <c r="H31" s="125" t="s">
        <v>86</v>
      </c>
      <c r="I31" s="126"/>
      <c r="J31" s="127"/>
      <c r="K31" s="127"/>
      <c r="L31" s="128"/>
      <c r="M31" s="24"/>
      <c r="N31" s="129"/>
      <c r="O31" s="11"/>
      <c r="P31" s="11"/>
      <c r="Q31" s="11"/>
      <c r="R31" s="11"/>
      <c r="S31" s="11"/>
      <c r="T31" s="11"/>
    </row>
    <row r="32" spans="1:20" ht="15.75" customHeight="1">
      <c r="A32" s="422" t="s">
        <v>87</v>
      </c>
      <c r="B32" s="130" t="s">
        <v>49</v>
      </c>
      <c r="C32" s="116"/>
      <c r="D32" s="117"/>
      <c r="E32" s="117"/>
      <c r="F32" s="73">
        <f>F15</f>
        <v>22.526653306613227</v>
      </c>
      <c r="G32" s="19"/>
      <c r="H32" s="131" t="s">
        <v>88</v>
      </c>
      <c r="I32" s="132"/>
      <c r="J32" s="133"/>
      <c r="K32" s="133"/>
      <c r="L32" s="134"/>
      <c r="M32" s="24"/>
      <c r="N32" s="11"/>
      <c r="O32" s="11"/>
      <c r="P32" s="11"/>
      <c r="Q32" s="11"/>
      <c r="R32" s="11"/>
      <c r="S32" s="11"/>
      <c r="T32" s="11"/>
    </row>
    <row r="33" spans="1:20" ht="15.75" customHeight="1">
      <c r="A33" s="423"/>
      <c r="B33" s="120" t="s">
        <v>89</v>
      </c>
      <c r="C33" s="135">
        <f>Parameters!$B$1*D33</f>
        <v>386.72499999999997</v>
      </c>
      <c r="D33" s="121">
        <v>15.5</v>
      </c>
      <c r="E33" s="121">
        <f>D33</f>
        <v>15.5</v>
      </c>
      <c r="F33" s="122">
        <f>F32+E33</f>
        <v>38.026653306613227</v>
      </c>
      <c r="G33" s="19"/>
      <c r="H33" s="131" t="s">
        <v>90</v>
      </c>
      <c r="I33" s="132"/>
      <c r="J33" s="133"/>
      <c r="K33" s="133"/>
      <c r="L33" s="134"/>
      <c r="M33" s="24"/>
      <c r="N33" s="11"/>
      <c r="O33" s="11"/>
      <c r="P33" s="11"/>
      <c r="Q33" s="11"/>
      <c r="R33" s="11"/>
      <c r="S33" s="11"/>
      <c r="T33" s="100"/>
    </row>
    <row r="34" spans="1:20" ht="15.75" customHeight="1">
      <c r="A34" s="423"/>
      <c r="B34" s="136" t="s">
        <v>91</v>
      </c>
      <c r="C34" s="135">
        <f>Parameters!$B$1*D34</f>
        <v>42.414999999999999</v>
      </c>
      <c r="D34" s="121">
        <v>1.7</v>
      </c>
      <c r="E34" s="117"/>
      <c r="F34" s="137"/>
      <c r="G34" s="19"/>
      <c r="H34" s="138" t="s">
        <v>92</v>
      </c>
      <c r="I34" s="139">
        <f>Parameters!$B$1*J34</f>
        <v>227.04499999999999</v>
      </c>
      <c r="J34" s="140">
        <v>9.1</v>
      </c>
      <c r="K34" s="141"/>
      <c r="L34" s="142"/>
      <c r="M34" s="54" t="s">
        <v>85</v>
      </c>
      <c r="N34" s="11"/>
      <c r="O34" s="100"/>
      <c r="P34" s="100"/>
      <c r="Q34" s="100"/>
      <c r="R34" s="100"/>
      <c r="S34" s="100"/>
      <c r="T34" s="100"/>
    </row>
    <row r="35" spans="1:20" ht="15.75" customHeight="1">
      <c r="A35" s="423"/>
      <c r="B35" s="120" t="s">
        <v>93</v>
      </c>
      <c r="C35" s="135"/>
      <c r="D35" s="121"/>
      <c r="E35" s="117"/>
      <c r="F35" s="143"/>
      <c r="G35" s="19"/>
      <c r="H35" s="120" t="s">
        <v>94</v>
      </c>
      <c r="I35" s="116">
        <f>Parameters!$B$1*J35</f>
        <v>24.95</v>
      </c>
      <c r="J35" s="121">
        <f>1</f>
        <v>1</v>
      </c>
      <c r="K35" s="121"/>
      <c r="L35" s="122"/>
      <c r="M35" s="54" t="s">
        <v>95</v>
      </c>
      <c r="N35" s="11"/>
      <c r="O35" s="100"/>
      <c r="P35" s="100"/>
      <c r="Q35" s="100"/>
      <c r="R35" s="100"/>
      <c r="S35" s="100"/>
      <c r="T35" s="100"/>
    </row>
    <row r="36" spans="1:20" ht="15.75" customHeight="1">
      <c r="A36" s="424"/>
      <c r="B36" s="120" t="s">
        <v>96</v>
      </c>
      <c r="C36" s="135">
        <f>Parameters!$B$1*D36</f>
        <v>9.98</v>
      </c>
      <c r="D36" s="121">
        <v>0.4</v>
      </c>
      <c r="E36" s="117"/>
      <c r="F36" s="143"/>
      <c r="G36" s="59" t="s">
        <v>85</v>
      </c>
      <c r="H36" s="120" t="s">
        <v>97</v>
      </c>
      <c r="I36" s="116">
        <f>Parameters!$B$1*J36</f>
        <v>9.98</v>
      </c>
      <c r="J36" s="121">
        <f>0.4</f>
        <v>0.4</v>
      </c>
      <c r="K36" s="121"/>
      <c r="L36" s="122"/>
      <c r="M36" s="54" t="s">
        <v>95</v>
      </c>
      <c r="N36" s="11"/>
      <c r="O36" s="100"/>
      <c r="P36" s="100"/>
      <c r="Q36" s="100"/>
      <c r="R36" s="100"/>
      <c r="S36" s="100"/>
      <c r="T36" s="100"/>
    </row>
    <row r="37" spans="1:20" ht="15.75" customHeight="1">
      <c r="A37" s="424"/>
      <c r="B37" s="125" t="s">
        <v>98</v>
      </c>
      <c r="C37" s="144"/>
      <c r="D37" s="127"/>
      <c r="E37" s="145"/>
      <c r="F37" s="146"/>
      <c r="G37" s="19"/>
      <c r="H37" s="43" t="s">
        <v>99</v>
      </c>
      <c r="I37" s="44">
        <f>Parameters!$B$1*J37</f>
        <v>78</v>
      </c>
      <c r="J37" s="45">
        <f>R20</f>
        <v>3.1262525050100201</v>
      </c>
      <c r="K37" s="121"/>
      <c r="L37" s="122"/>
      <c r="M37" s="24"/>
      <c r="N37" s="11"/>
      <c r="O37" s="100"/>
      <c r="P37" s="100"/>
      <c r="Q37" s="100"/>
      <c r="R37" s="100"/>
      <c r="S37" s="100"/>
      <c r="T37" s="100"/>
    </row>
    <row r="38" spans="1:20" ht="15.75" customHeight="1">
      <c r="A38" s="424"/>
      <c r="B38" s="131" t="s">
        <v>100</v>
      </c>
      <c r="C38" s="133"/>
      <c r="D38" s="133"/>
      <c r="E38" s="147"/>
      <c r="F38" s="148"/>
      <c r="G38" s="19"/>
      <c r="H38" s="149" t="s">
        <v>101</v>
      </c>
      <c r="I38" s="150"/>
      <c r="J38" s="151"/>
      <c r="K38" s="152">
        <f>SUM(J30,J34,J35,J36,J37)</f>
        <v>16.22625250501002</v>
      </c>
      <c r="L38" s="153">
        <f>L28+K38</f>
        <v>63.74625250501002</v>
      </c>
      <c r="M38" s="54" t="s">
        <v>102</v>
      </c>
      <c r="N38" s="11"/>
      <c r="O38" s="100"/>
      <c r="P38" s="100"/>
      <c r="Q38" s="100"/>
      <c r="R38" s="100"/>
      <c r="S38" s="100"/>
      <c r="T38" s="100"/>
    </row>
    <row r="39" spans="1:20" ht="15.75" customHeight="1">
      <c r="A39" s="424"/>
      <c r="B39" s="138" t="s">
        <v>103</v>
      </c>
      <c r="C39" s="154">
        <f>Parameters!$B$1*D39</f>
        <v>39.92</v>
      </c>
      <c r="D39" s="140">
        <v>1.6</v>
      </c>
      <c r="E39" s="141">
        <f>SUM(E33,D34,D35,D36,D39)</f>
        <v>19.2</v>
      </c>
      <c r="F39" s="155"/>
      <c r="G39" s="54" t="s">
        <v>104</v>
      </c>
      <c r="H39" s="60"/>
      <c r="I39" s="60"/>
      <c r="J39" s="60"/>
      <c r="K39" s="60"/>
      <c r="L39" s="60"/>
      <c r="M39" s="11"/>
      <c r="N39" s="11"/>
      <c r="O39" s="100"/>
      <c r="P39" s="100"/>
      <c r="Q39" s="100"/>
      <c r="R39" s="100"/>
      <c r="S39" s="100"/>
      <c r="T39" s="100"/>
    </row>
    <row r="40" spans="1:20" ht="15.75" customHeight="1">
      <c r="A40" s="423"/>
      <c r="B40" s="43" t="s">
        <v>105</v>
      </c>
      <c r="C40" s="45">
        <f>Parameters!$B$1*D40</f>
        <v>127.24499999999999</v>
      </c>
      <c r="D40" s="45">
        <v>5.0999999999999996</v>
      </c>
      <c r="E40" s="45">
        <f>SUM(E39,D40)</f>
        <v>24.299999999999997</v>
      </c>
      <c r="F40" s="143">
        <f>F$32+E40</f>
        <v>46.826653306613224</v>
      </c>
      <c r="G40" s="59" t="s">
        <v>106</v>
      </c>
      <c r="H40" s="24"/>
      <c r="I40" s="11"/>
      <c r="J40" s="11"/>
      <c r="K40" s="11"/>
      <c r="L40" s="11"/>
      <c r="M40" s="11"/>
      <c r="N40" s="11"/>
      <c r="O40" s="11"/>
      <c r="P40" s="11"/>
      <c r="Q40" s="11"/>
      <c r="R40" s="11"/>
      <c r="S40" s="11"/>
      <c r="T40" s="11"/>
    </row>
    <row r="41" spans="1:20" ht="15.75" customHeight="1">
      <c r="A41" s="423"/>
      <c r="B41" s="43" t="s">
        <v>107</v>
      </c>
      <c r="C41" s="45">
        <f>Parameters!$B$1*D41</f>
        <v>127.24499999999999</v>
      </c>
      <c r="D41" s="45">
        <v>5.0999999999999996</v>
      </c>
      <c r="E41" s="45">
        <f>SUM(E39,D41)</f>
        <v>24.299999999999997</v>
      </c>
      <c r="F41" s="143">
        <f>F$32+E41</f>
        <v>46.826653306613224</v>
      </c>
      <c r="G41" s="59" t="s">
        <v>108</v>
      </c>
      <c r="H41" s="24"/>
      <c r="I41" s="11"/>
      <c r="J41" s="11"/>
      <c r="K41" s="11"/>
      <c r="L41" s="11"/>
      <c r="M41" s="11"/>
      <c r="N41" s="11"/>
      <c r="O41" s="11"/>
      <c r="P41" s="11"/>
      <c r="Q41" s="11"/>
      <c r="R41" s="11"/>
      <c r="S41" s="11"/>
      <c r="T41" s="11"/>
    </row>
    <row r="42" spans="1:20" ht="16.5" customHeight="1">
      <c r="A42" s="423"/>
      <c r="B42" s="43" t="s">
        <v>109</v>
      </c>
      <c r="C42" s="45">
        <f>Parameters!$B$1*D42</f>
        <v>130.738</v>
      </c>
      <c r="D42" s="45">
        <v>5.24</v>
      </c>
      <c r="E42" s="45">
        <f>SUM(D42,E39)</f>
        <v>24.439999999999998</v>
      </c>
      <c r="F42" s="143">
        <f>F$32+E42</f>
        <v>46.966653306613225</v>
      </c>
      <c r="G42" s="59" t="s">
        <v>110</v>
      </c>
      <c r="H42" s="24"/>
      <c r="I42" s="11"/>
      <c r="J42" s="11"/>
      <c r="K42" s="11"/>
      <c r="L42" s="11"/>
      <c r="M42" s="11"/>
      <c r="N42" s="11"/>
      <c r="O42" s="11"/>
      <c r="P42" s="11"/>
      <c r="Q42" s="11"/>
      <c r="R42" s="11"/>
      <c r="S42" s="11"/>
      <c r="T42" s="11"/>
    </row>
    <row r="43" spans="1:20" ht="15.95" customHeight="1">
      <c r="A43" s="423"/>
      <c r="B43" s="43" t="s">
        <v>111</v>
      </c>
      <c r="C43" s="45">
        <f>Parameters!$B$1*D43</f>
        <v>54.89</v>
      </c>
      <c r="D43" s="45">
        <v>2.2000000000000002</v>
      </c>
      <c r="E43" s="45">
        <f>D43</f>
        <v>2.2000000000000002</v>
      </c>
      <c r="F43" s="156">
        <f>F33+E43</f>
        <v>40.22665330661323</v>
      </c>
      <c r="G43" s="54" t="s">
        <v>112</v>
      </c>
      <c r="H43" s="11"/>
      <c r="I43" s="11"/>
      <c r="J43" s="11"/>
      <c r="K43" s="11"/>
      <c r="L43" s="11"/>
      <c r="M43" s="11"/>
      <c r="N43" s="11"/>
      <c r="O43" s="11"/>
      <c r="P43" s="11"/>
      <c r="Q43" s="11"/>
      <c r="R43" s="11"/>
      <c r="S43" s="11"/>
      <c r="T43" s="11"/>
    </row>
    <row r="44" spans="1:20" ht="17.100000000000001" customHeight="1">
      <c r="A44" s="423"/>
      <c r="B44" s="120" t="s">
        <v>113</v>
      </c>
      <c r="C44" s="121">
        <f>Parameters!$B$1*D44</f>
        <v>187.125</v>
      </c>
      <c r="D44" s="121">
        <v>7.5</v>
      </c>
      <c r="E44" s="157"/>
      <c r="F44" s="158"/>
      <c r="G44" s="24"/>
      <c r="H44" s="11"/>
      <c r="I44" s="11"/>
      <c r="J44" s="11"/>
      <c r="K44" s="11"/>
      <c r="L44" s="11"/>
      <c r="M44" s="11"/>
      <c r="N44" s="11"/>
      <c r="O44" s="159"/>
      <c r="P44" s="160"/>
      <c r="Q44" s="11"/>
      <c r="R44" s="11"/>
      <c r="S44" s="11"/>
      <c r="T44" s="11"/>
    </row>
    <row r="45" spans="1:20" ht="17.100000000000001" customHeight="1">
      <c r="A45" s="423"/>
      <c r="B45" s="120" t="s">
        <v>67</v>
      </c>
      <c r="C45" s="121">
        <f>Parameters!$B$1*D45</f>
        <v>54.89</v>
      </c>
      <c r="D45" s="121">
        <v>2.2000000000000002</v>
      </c>
      <c r="E45" s="121"/>
      <c r="F45" s="122"/>
      <c r="G45" s="24"/>
      <c r="H45" s="12" t="s">
        <v>114</v>
      </c>
      <c r="I45" s="13"/>
      <c r="J45" s="61"/>
      <c r="K45" s="61"/>
      <c r="L45" s="61"/>
      <c r="M45" s="11"/>
      <c r="N45" s="11"/>
      <c r="O45" s="101" t="s">
        <v>115</v>
      </c>
      <c r="P45" s="102"/>
      <c r="Q45" s="102"/>
      <c r="R45" s="100"/>
      <c r="S45" s="11"/>
      <c r="T45" s="11"/>
    </row>
    <row r="46" spans="1:20" ht="19.5" customHeight="1">
      <c r="A46" s="423"/>
      <c r="B46" s="120" t="s">
        <v>116</v>
      </c>
      <c r="C46" s="121">
        <f>D46*Parameters!$B$1</f>
        <v>29.939999999999998</v>
      </c>
      <c r="D46" s="121">
        <v>1.2</v>
      </c>
      <c r="E46" s="121"/>
      <c r="F46" s="122"/>
      <c r="G46" s="19"/>
      <c r="H46" s="406">
        <v>44044</v>
      </c>
      <c r="I46" s="17" t="s">
        <v>18</v>
      </c>
      <c r="J46" s="17" t="s">
        <v>19</v>
      </c>
      <c r="K46" s="17" t="s">
        <v>20</v>
      </c>
      <c r="L46" s="18" t="s">
        <v>21</v>
      </c>
      <c r="M46" s="24"/>
      <c r="N46" s="161"/>
      <c r="O46" s="104" t="s">
        <v>117</v>
      </c>
      <c r="P46" s="105" t="s">
        <v>77</v>
      </c>
      <c r="Q46" s="106" t="s">
        <v>78</v>
      </c>
      <c r="R46" s="162"/>
      <c r="S46" s="11"/>
      <c r="T46" s="11"/>
    </row>
    <row r="47" spans="1:20" ht="15.75" customHeight="1">
      <c r="A47" s="163"/>
      <c r="B47" s="120" t="s">
        <v>70</v>
      </c>
      <c r="C47" s="121">
        <f>Parameters!$B$1*D47</f>
        <v>54.89</v>
      </c>
      <c r="D47" s="121">
        <v>2.2000000000000002</v>
      </c>
      <c r="E47" s="164"/>
      <c r="F47" s="165"/>
      <c r="G47" s="19"/>
      <c r="H47" s="109" t="s">
        <v>80</v>
      </c>
      <c r="I47" s="110"/>
      <c r="J47" s="111"/>
      <c r="K47" s="111"/>
      <c r="L47" s="112">
        <f>MAX(L20,F41)</f>
        <v>47.519999999999996</v>
      </c>
      <c r="M47" s="24"/>
      <c r="N47" s="103"/>
      <c r="O47" s="113"/>
      <c r="P47" s="114">
        <f>F41</f>
        <v>46.826653306613224</v>
      </c>
      <c r="Q47" s="166">
        <f>L20</f>
        <v>47.519999999999996</v>
      </c>
      <c r="R47" s="167"/>
      <c r="S47" s="11"/>
      <c r="T47" s="11"/>
    </row>
    <row r="48" spans="1:20" ht="15.75" customHeight="1">
      <c r="A48" s="163"/>
      <c r="B48" s="120" t="s">
        <v>71</v>
      </c>
      <c r="C48" s="121">
        <f>Parameters!$B$1*D48</f>
        <v>49.9</v>
      </c>
      <c r="D48" s="121">
        <v>2</v>
      </c>
      <c r="E48" s="121">
        <f>SUM(D44:D48)</f>
        <v>15.099999999999998</v>
      </c>
      <c r="F48" s="143">
        <f>F32+E43+E48+E33</f>
        <v>55.326653306613224</v>
      </c>
      <c r="G48" s="59" t="s">
        <v>118</v>
      </c>
      <c r="H48" s="120" t="s">
        <v>119</v>
      </c>
      <c r="I48" s="135">
        <f>Parameters!$B$1*J48</f>
        <v>49.9</v>
      </c>
      <c r="J48" s="121">
        <v>2</v>
      </c>
      <c r="K48" s="121"/>
      <c r="L48" s="122"/>
      <c r="M48" s="24"/>
      <c r="N48" s="11"/>
      <c r="O48" s="119"/>
      <c r="P48" s="119"/>
      <c r="Q48" s="119"/>
      <c r="R48" s="11"/>
      <c r="S48" s="11"/>
      <c r="T48" s="11"/>
    </row>
    <row r="49" spans="1:20" ht="15.75" customHeight="1">
      <c r="A49" s="163"/>
      <c r="B49" s="120" t="s">
        <v>75</v>
      </c>
      <c r="C49" s="121">
        <f>D49*Parameters!$B$1</f>
        <v>199.6</v>
      </c>
      <c r="D49" s="121">
        <v>8</v>
      </c>
      <c r="E49" s="121"/>
      <c r="F49" s="143"/>
      <c r="G49" s="19"/>
      <c r="H49" s="120" t="s">
        <v>120</v>
      </c>
      <c r="I49" s="135">
        <f>Parameters!$B$1*J49</f>
        <v>37.424999999999997</v>
      </c>
      <c r="J49" s="168">
        <v>1.5</v>
      </c>
      <c r="K49" s="121"/>
      <c r="L49" s="122"/>
      <c r="M49" s="169"/>
      <c r="N49" s="11"/>
      <c r="O49" s="11"/>
      <c r="P49" s="11"/>
      <c r="Q49" s="11"/>
      <c r="R49" s="11"/>
      <c r="S49" s="11"/>
      <c r="T49" s="11"/>
    </row>
    <row r="50" spans="1:20" ht="18.75" customHeight="1">
      <c r="A50" s="163"/>
      <c r="B50" s="130" t="s">
        <v>79</v>
      </c>
      <c r="C50" s="121">
        <f>Parameters!$B$1*D50</f>
        <v>54.89</v>
      </c>
      <c r="D50" s="121">
        <f t="shared" si="0"/>
        <v>2.2000000000000002</v>
      </c>
      <c r="E50" s="121"/>
      <c r="F50" s="143"/>
      <c r="G50" s="19"/>
      <c r="H50" s="120" t="s">
        <v>121</v>
      </c>
      <c r="I50" s="135">
        <f>Parameters!$B$1*J50</f>
        <v>24.95</v>
      </c>
      <c r="J50" s="121">
        <v>1</v>
      </c>
      <c r="K50" s="121"/>
      <c r="L50" s="122"/>
      <c r="M50" s="170"/>
      <c r="N50" s="11"/>
      <c r="O50" s="11"/>
      <c r="P50" s="11"/>
      <c r="Q50" s="11"/>
      <c r="R50" s="11"/>
      <c r="S50" s="11"/>
      <c r="T50" s="11"/>
    </row>
    <row r="51" spans="1:20" ht="15.75" customHeight="1">
      <c r="A51" s="163"/>
      <c r="B51" s="120" t="s">
        <v>81</v>
      </c>
      <c r="C51" s="121">
        <f>Parameters!$B$1*D51</f>
        <v>49.9</v>
      </c>
      <c r="D51" s="121">
        <v>2</v>
      </c>
      <c r="E51" s="121"/>
      <c r="F51" s="143"/>
      <c r="G51" s="19"/>
      <c r="H51" s="120" t="s">
        <v>122</v>
      </c>
      <c r="I51" s="135">
        <f>Parameters!$B$1*J51</f>
        <v>124.75</v>
      </c>
      <c r="J51" s="121">
        <v>5</v>
      </c>
      <c r="K51" s="121"/>
      <c r="L51" s="122"/>
      <c r="M51" s="24"/>
      <c r="N51" s="11"/>
      <c r="O51" s="11"/>
      <c r="P51" s="11"/>
      <c r="Q51" s="11"/>
      <c r="R51" s="11"/>
      <c r="S51" s="11"/>
      <c r="T51" s="11"/>
    </row>
    <row r="52" spans="1:20" ht="15.75" customHeight="1">
      <c r="A52" s="163"/>
      <c r="B52" s="43" t="s">
        <v>82</v>
      </c>
      <c r="C52" s="45">
        <f>Parameters!$B$1*D52</f>
        <v>54.89</v>
      </c>
      <c r="D52" s="45">
        <f t="shared" si="0"/>
        <v>2.2000000000000002</v>
      </c>
      <c r="E52" s="45">
        <f>SUM(D49:D52,D44:D45)</f>
        <v>24.099999999999998</v>
      </c>
      <c r="F52" s="165">
        <f>SUM(F33,E43,E52)</f>
        <v>64.326653306613224</v>
      </c>
      <c r="G52" s="59" t="s">
        <v>123</v>
      </c>
      <c r="H52" s="120" t="s">
        <v>124</v>
      </c>
      <c r="I52" s="135">
        <v>25</v>
      </c>
      <c r="J52" s="121">
        <v>1</v>
      </c>
      <c r="K52" s="117"/>
      <c r="L52" s="137"/>
      <c r="M52" s="24"/>
      <c r="N52" s="11"/>
      <c r="O52" s="11"/>
      <c r="P52" s="11"/>
      <c r="Q52" s="11"/>
      <c r="R52" s="11"/>
      <c r="S52" s="11"/>
      <c r="T52" s="11"/>
    </row>
    <row r="53" spans="1:20" ht="15.75" customHeight="1">
      <c r="A53" s="171"/>
      <c r="B53" s="172"/>
      <c r="C53" s="173"/>
      <c r="D53" s="174"/>
      <c r="E53" s="174"/>
      <c r="F53" s="175"/>
      <c r="G53" s="19"/>
      <c r="H53" s="120" t="s">
        <v>125</v>
      </c>
      <c r="I53" s="135">
        <f>Parameters!$B$1*J53</f>
        <v>24.95</v>
      </c>
      <c r="J53" s="121">
        <v>1</v>
      </c>
      <c r="K53" s="121"/>
      <c r="L53" s="122"/>
      <c r="M53" s="24"/>
      <c r="N53" s="11"/>
      <c r="O53" s="11"/>
      <c r="P53" s="11"/>
      <c r="Q53" s="11"/>
      <c r="R53" s="11"/>
      <c r="S53" s="11"/>
      <c r="T53" s="11"/>
    </row>
    <row r="54" spans="1:20" ht="15.75" customHeight="1">
      <c r="A54" s="15"/>
      <c r="B54" s="176" t="s">
        <v>126</v>
      </c>
      <c r="C54" s="177"/>
      <c r="D54" s="178"/>
      <c r="E54" s="179"/>
      <c r="F54" s="180">
        <f>F26</f>
        <v>60.22665330661323</v>
      </c>
      <c r="G54" s="59" t="s">
        <v>127</v>
      </c>
      <c r="H54" s="120" t="s">
        <v>128</v>
      </c>
      <c r="I54" s="135">
        <f>Parameters!$B$1*J54</f>
        <v>49.9</v>
      </c>
      <c r="J54" s="121">
        <v>2</v>
      </c>
      <c r="K54" s="121">
        <v>13.5</v>
      </c>
      <c r="L54" s="122"/>
      <c r="M54" s="426" t="s">
        <v>347</v>
      </c>
      <c r="N54" s="11"/>
      <c r="O54" s="11"/>
      <c r="P54" s="11"/>
      <c r="Q54" s="11"/>
      <c r="R54" s="11"/>
      <c r="S54" s="11"/>
      <c r="T54" s="11"/>
    </row>
    <row r="55" spans="1:20" ht="16.5" customHeight="1">
      <c r="A55" s="15"/>
      <c r="B55" s="181" t="s">
        <v>129</v>
      </c>
      <c r="C55" s="182"/>
      <c r="D55" s="183"/>
      <c r="E55" s="183"/>
      <c r="F55" s="184">
        <f>MAX(F30,F52)</f>
        <v>69.22665330661323</v>
      </c>
      <c r="G55" s="59" t="s">
        <v>130</v>
      </c>
      <c r="H55" s="43" t="s">
        <v>131</v>
      </c>
      <c r="I55" s="44">
        <f>Parameters!$B$1*J55</f>
        <v>81</v>
      </c>
      <c r="J55" s="45">
        <f>R21</f>
        <v>3.246492985971944</v>
      </c>
      <c r="K55" s="121"/>
      <c r="L55" s="122" t="s">
        <v>345</v>
      </c>
      <c r="M55" s="426" t="s">
        <v>346</v>
      </c>
      <c r="N55" s="11"/>
      <c r="O55" s="11"/>
      <c r="P55" s="11"/>
      <c r="Q55" s="11"/>
      <c r="R55" s="11"/>
      <c r="S55" s="11"/>
      <c r="T55" s="11"/>
    </row>
    <row r="56" spans="1:20" ht="16.5" customHeight="1">
      <c r="A56" s="11"/>
      <c r="B56" s="60"/>
      <c r="C56" s="60"/>
      <c r="D56" s="60"/>
      <c r="E56" s="60"/>
      <c r="F56" s="60"/>
      <c r="G56" s="15"/>
      <c r="H56" s="149" t="s">
        <v>101</v>
      </c>
      <c r="I56" s="150"/>
      <c r="J56" s="151"/>
      <c r="K56" s="152">
        <f>SUM(J48:J55)</f>
        <v>16.746492985971944</v>
      </c>
      <c r="L56" s="153">
        <f>L47+K56</f>
        <v>64.266492985971936</v>
      </c>
      <c r="M56" s="54"/>
      <c r="N56" s="11"/>
      <c r="O56" s="11"/>
      <c r="P56" s="11"/>
      <c r="Q56" s="11"/>
      <c r="R56" s="11"/>
      <c r="S56" s="11"/>
      <c r="T56" s="11"/>
    </row>
    <row r="57" spans="1:20" ht="15.75" customHeight="1">
      <c r="A57" s="11"/>
      <c r="B57" s="11"/>
      <c r="C57" s="11"/>
      <c r="D57" s="11"/>
      <c r="E57" s="185"/>
      <c r="F57" s="11"/>
      <c r="G57" s="11"/>
      <c r="H57" s="60"/>
      <c r="I57" s="60"/>
      <c r="J57" s="60"/>
      <c r="K57" s="60"/>
      <c r="L57" s="60"/>
      <c r="M57" s="11"/>
      <c r="N57" s="11"/>
      <c r="O57" s="11"/>
      <c r="P57" s="11"/>
      <c r="Q57" s="11"/>
      <c r="R57" s="11"/>
      <c r="S57" s="11"/>
      <c r="T57" s="11"/>
    </row>
    <row r="58" spans="1:20" ht="24" customHeight="1">
      <c r="A58" s="11"/>
      <c r="B58" s="12" t="s">
        <v>132</v>
      </c>
      <c r="C58" s="61"/>
      <c r="D58" s="61"/>
      <c r="E58" s="61"/>
      <c r="F58" s="11"/>
      <c r="G58" s="11"/>
      <c r="H58" s="11"/>
      <c r="I58" s="11"/>
      <c r="J58" s="11"/>
      <c r="K58" s="11"/>
      <c r="L58" s="11"/>
      <c r="M58" s="11"/>
      <c r="N58" s="11"/>
      <c r="O58" s="11"/>
      <c r="P58" s="11"/>
      <c r="Q58" s="11"/>
      <c r="R58" s="11"/>
      <c r="S58" s="11"/>
      <c r="T58" s="11"/>
    </row>
    <row r="59" spans="1:20" ht="24" customHeight="1">
      <c r="A59" s="15"/>
      <c r="B59" s="65"/>
      <c r="C59" s="66" t="s">
        <v>47</v>
      </c>
      <c r="D59" s="66" t="s">
        <v>18</v>
      </c>
      <c r="E59" s="68" t="s">
        <v>19</v>
      </c>
      <c r="F59" s="69"/>
      <c r="G59" s="11"/>
      <c r="H59" s="12" t="s">
        <v>133</v>
      </c>
      <c r="I59" s="13"/>
      <c r="J59" s="61"/>
      <c r="K59" s="61"/>
      <c r="L59" s="61"/>
      <c r="M59" s="11"/>
      <c r="N59" s="11"/>
      <c r="O59" s="101" t="s">
        <v>134</v>
      </c>
      <c r="P59" s="102"/>
      <c r="Q59" s="102"/>
      <c r="R59" s="11"/>
      <c r="S59" s="11"/>
      <c r="T59" s="11"/>
    </row>
    <row r="60" spans="1:20" ht="16.5" customHeight="1">
      <c r="A60" s="15"/>
      <c r="B60" s="76" t="s">
        <v>135</v>
      </c>
      <c r="C60" s="77"/>
      <c r="D60" s="78"/>
      <c r="E60" s="79"/>
      <c r="F60" s="69"/>
      <c r="G60" s="15"/>
      <c r="H60" s="16"/>
      <c r="I60" s="17" t="s">
        <v>18</v>
      </c>
      <c r="J60" s="17" t="s">
        <v>19</v>
      </c>
      <c r="K60" s="17" t="s">
        <v>20</v>
      </c>
      <c r="L60" s="18" t="s">
        <v>21</v>
      </c>
      <c r="M60" s="24"/>
      <c r="N60" s="103"/>
      <c r="O60" s="104" t="s">
        <v>136</v>
      </c>
      <c r="P60" s="105" t="s">
        <v>77</v>
      </c>
      <c r="Q60" s="106" t="s">
        <v>78</v>
      </c>
      <c r="R60" s="107"/>
      <c r="S60" s="11"/>
      <c r="T60" s="11"/>
    </row>
    <row r="61" spans="1:20" ht="15.75" customHeight="1">
      <c r="A61" s="15"/>
      <c r="B61" s="43" t="s">
        <v>137</v>
      </c>
      <c r="C61" s="45">
        <v>25.5</v>
      </c>
      <c r="D61" s="44">
        <f t="shared" ref="D61:D66" si="1">5*C61</f>
        <v>127.5</v>
      </c>
      <c r="E61" s="82">
        <f t="shared" ref="E61:E66" si="2">D61/25</f>
        <v>5.0999999999999996</v>
      </c>
      <c r="F61" s="186" t="s">
        <v>138</v>
      </c>
      <c r="G61" s="19"/>
      <c r="H61" s="109" t="s">
        <v>80</v>
      </c>
      <c r="I61" s="110"/>
      <c r="J61" s="111"/>
      <c r="K61" s="111"/>
      <c r="L61" s="112">
        <f>MAX(L21,F42)</f>
        <v>47.66</v>
      </c>
      <c r="M61" s="24"/>
      <c r="N61" s="103"/>
      <c r="O61" s="113"/>
      <c r="P61" s="114">
        <f>F42</f>
        <v>46.966653306613225</v>
      </c>
      <c r="Q61" s="114">
        <f>L21</f>
        <v>47.66</v>
      </c>
      <c r="R61" s="11"/>
      <c r="S61" s="11"/>
      <c r="T61" s="11"/>
    </row>
    <row r="62" spans="1:20" ht="15.75" customHeight="1">
      <c r="A62" s="15"/>
      <c r="B62" s="43" t="s">
        <v>139</v>
      </c>
      <c r="C62" s="45">
        <v>25.5</v>
      </c>
      <c r="D62" s="44">
        <f t="shared" si="1"/>
        <v>127.5</v>
      </c>
      <c r="E62" s="82">
        <f t="shared" si="2"/>
        <v>5.0999999999999996</v>
      </c>
      <c r="F62" s="186" t="s">
        <v>139</v>
      </c>
      <c r="G62" s="19"/>
      <c r="H62" s="120" t="s">
        <v>140</v>
      </c>
      <c r="I62" s="135">
        <f>Parameters!$B$1*J62</f>
        <v>22.954000000000001</v>
      </c>
      <c r="J62" s="121">
        <v>0.92</v>
      </c>
      <c r="K62" s="121"/>
      <c r="L62" s="122"/>
      <c r="M62" s="54" t="s">
        <v>85</v>
      </c>
      <c r="N62" s="11"/>
      <c r="O62" s="119"/>
      <c r="P62" s="119"/>
      <c r="Q62" s="119"/>
      <c r="R62" s="11"/>
      <c r="S62" s="11"/>
      <c r="T62" s="11"/>
    </row>
    <row r="63" spans="1:20" ht="15.75" customHeight="1">
      <c r="A63" s="15"/>
      <c r="B63" s="43" t="s">
        <v>141</v>
      </c>
      <c r="C63" s="45">
        <v>26.2</v>
      </c>
      <c r="D63" s="44">
        <f t="shared" si="1"/>
        <v>131</v>
      </c>
      <c r="E63" s="82">
        <f t="shared" si="2"/>
        <v>5.24</v>
      </c>
      <c r="F63" s="186" t="s">
        <v>141</v>
      </c>
      <c r="G63" s="19"/>
      <c r="H63" s="187" t="s">
        <v>142</v>
      </c>
      <c r="I63" s="188">
        <f>Parameters!$B$1*J63</f>
        <v>10.7285</v>
      </c>
      <c r="J63" s="189">
        <v>0.43</v>
      </c>
      <c r="K63" s="190"/>
      <c r="L63" s="191"/>
      <c r="M63" s="24"/>
      <c r="N63" s="11"/>
      <c r="O63" s="11"/>
      <c r="P63" s="11"/>
      <c r="Q63" s="11"/>
      <c r="R63" s="11"/>
      <c r="S63" s="11"/>
      <c r="T63" s="11"/>
    </row>
    <row r="64" spans="1:20" ht="15.75" customHeight="1">
      <c r="A64" s="15"/>
      <c r="B64" s="43" t="s">
        <v>143</v>
      </c>
      <c r="C64" s="45">
        <v>12.7</v>
      </c>
      <c r="D64" s="44">
        <f t="shared" si="1"/>
        <v>63.5</v>
      </c>
      <c r="E64" s="82">
        <f t="shared" si="2"/>
        <v>2.54</v>
      </c>
      <c r="F64" s="186" t="s">
        <v>143</v>
      </c>
      <c r="G64" s="19"/>
      <c r="H64" s="187" t="s">
        <v>144</v>
      </c>
      <c r="I64" s="188">
        <f>Parameters!$B$1*J64</f>
        <v>7.2354999999999992</v>
      </c>
      <c r="J64" s="189">
        <v>0.28999999999999998</v>
      </c>
      <c r="K64" s="190"/>
      <c r="L64" s="191"/>
      <c r="M64" s="24"/>
      <c r="N64" s="11"/>
      <c r="O64" s="11"/>
      <c r="P64" s="11"/>
      <c r="Q64" s="11"/>
      <c r="R64" s="11"/>
      <c r="S64" s="11"/>
      <c r="T64" s="11"/>
    </row>
    <row r="65" spans="1:20" ht="15.75" customHeight="1">
      <c r="A65" s="15"/>
      <c r="B65" s="43" t="s">
        <v>145</v>
      </c>
      <c r="C65" s="45">
        <v>12.7</v>
      </c>
      <c r="D65" s="44">
        <f t="shared" si="1"/>
        <v>63.5</v>
      </c>
      <c r="E65" s="82">
        <f t="shared" si="2"/>
        <v>2.54</v>
      </c>
      <c r="F65" s="186" t="s">
        <v>145</v>
      </c>
      <c r="G65" s="19"/>
      <c r="H65" s="187" t="s">
        <v>146</v>
      </c>
      <c r="I65" s="188">
        <f>Parameters!$B$1*J65</f>
        <v>35.6785</v>
      </c>
      <c r="J65" s="189">
        <v>1.43</v>
      </c>
      <c r="K65" s="190"/>
      <c r="L65" s="191"/>
      <c r="M65" s="24"/>
      <c r="N65" s="11"/>
      <c r="O65" s="11"/>
      <c r="P65" s="11"/>
      <c r="Q65" s="11"/>
      <c r="R65" s="11"/>
      <c r="S65" s="11"/>
      <c r="T65" s="11"/>
    </row>
    <row r="66" spans="1:20" ht="15.75" customHeight="1">
      <c r="A66" s="15"/>
      <c r="B66" s="91" t="s">
        <v>147</v>
      </c>
      <c r="C66" s="92">
        <v>13.4</v>
      </c>
      <c r="D66" s="93">
        <f t="shared" si="1"/>
        <v>67</v>
      </c>
      <c r="E66" s="94">
        <f t="shared" si="2"/>
        <v>2.68</v>
      </c>
      <c r="F66" s="186" t="s">
        <v>147</v>
      </c>
      <c r="G66" s="19"/>
      <c r="H66" s="192" t="s">
        <v>121</v>
      </c>
      <c r="I66" s="193">
        <f>Parameters!$B$1*K66</f>
        <v>53.642499999999998</v>
      </c>
      <c r="J66" s="190"/>
      <c r="K66" s="194">
        <f>SUM(J63,J64,J65)</f>
        <v>2.15</v>
      </c>
      <c r="L66" s="191"/>
      <c r="M66" s="54" t="s">
        <v>85</v>
      </c>
      <c r="N66" s="11"/>
      <c r="O66" s="11"/>
      <c r="P66" s="11"/>
      <c r="Q66" s="11"/>
      <c r="R66" s="11"/>
      <c r="S66" s="11"/>
      <c r="T66" s="11"/>
    </row>
    <row r="67" spans="1:20" ht="15.75" customHeight="1">
      <c r="A67" s="11"/>
      <c r="B67" s="195" t="s">
        <v>148</v>
      </c>
      <c r="C67" s="60"/>
      <c r="D67" s="60"/>
      <c r="E67" s="60"/>
      <c r="F67" s="11"/>
      <c r="G67" s="15"/>
      <c r="H67" s="196" t="s">
        <v>149</v>
      </c>
      <c r="I67" s="197">
        <f>Parameters!$B$1*J67</f>
        <v>14.221499999999999</v>
      </c>
      <c r="J67" s="198">
        <v>0.56999999999999995</v>
      </c>
      <c r="K67" s="199"/>
      <c r="L67" s="200"/>
      <c r="M67" s="24"/>
      <c r="N67" s="11"/>
      <c r="O67" s="11"/>
      <c r="P67" s="11"/>
      <c r="Q67" s="11"/>
      <c r="R67" s="11"/>
      <c r="S67" s="11"/>
      <c r="T67" s="11"/>
    </row>
    <row r="68" spans="1:20" ht="15.75" customHeight="1">
      <c r="A68" s="201"/>
      <c r="B68" s="202"/>
      <c r="C68" s="203"/>
      <c r="D68" s="11"/>
      <c r="E68" s="11"/>
      <c r="F68" s="11"/>
      <c r="G68" s="15"/>
      <c r="H68" s="196" t="s">
        <v>150</v>
      </c>
      <c r="I68" s="197">
        <f>Parameters!$B$1*J68</f>
        <v>17.714499999999997</v>
      </c>
      <c r="J68" s="198">
        <v>0.71</v>
      </c>
      <c r="K68" s="199"/>
      <c r="L68" s="200"/>
      <c r="M68" s="24"/>
      <c r="N68" s="11"/>
      <c r="O68" s="11"/>
      <c r="P68" s="11"/>
      <c r="Q68" s="11"/>
      <c r="R68" s="11"/>
      <c r="S68" s="11"/>
      <c r="T68" s="11"/>
    </row>
    <row r="69" spans="1:20" ht="15.75" customHeight="1">
      <c r="A69" s="201"/>
      <c r="B69" s="202"/>
      <c r="C69" s="203"/>
      <c r="D69" s="11"/>
      <c r="E69" s="11"/>
      <c r="F69" s="11"/>
      <c r="G69" s="15"/>
      <c r="H69" s="196" t="s">
        <v>151</v>
      </c>
      <c r="I69" s="197">
        <f>Parameters!$B$1*J69</f>
        <v>42.664499999999997</v>
      </c>
      <c r="J69" s="198">
        <v>1.71</v>
      </c>
      <c r="K69" s="199"/>
      <c r="L69" s="200"/>
      <c r="M69" s="24"/>
      <c r="N69" s="11"/>
      <c r="O69" s="11"/>
      <c r="P69" s="11"/>
      <c r="Q69" s="11"/>
      <c r="R69" s="11"/>
      <c r="S69" s="11"/>
      <c r="T69" s="11"/>
    </row>
    <row r="70" spans="1:20" ht="15.75" customHeight="1">
      <c r="A70" s="201"/>
      <c r="B70" s="202"/>
      <c r="C70" s="203"/>
      <c r="D70" s="11"/>
      <c r="E70" s="11"/>
      <c r="F70" s="11"/>
      <c r="G70" s="15"/>
      <c r="H70" s="196" t="s">
        <v>152</v>
      </c>
      <c r="I70" s="197">
        <f>Parameters!$B$1*J70</f>
        <v>17.714499999999997</v>
      </c>
      <c r="J70" s="198">
        <v>0.71</v>
      </c>
      <c r="K70" s="199"/>
      <c r="L70" s="200"/>
      <c r="M70" s="24"/>
      <c r="N70" s="11"/>
      <c r="O70" s="11"/>
      <c r="P70" s="11"/>
      <c r="Q70" s="11"/>
      <c r="R70" s="11"/>
      <c r="S70" s="11"/>
      <c r="T70" s="11"/>
    </row>
    <row r="71" spans="1:20" ht="15.75" customHeight="1">
      <c r="A71" s="201"/>
      <c r="B71" s="202"/>
      <c r="C71" s="203"/>
      <c r="D71" s="11"/>
      <c r="E71" s="11"/>
      <c r="F71" s="11"/>
      <c r="G71" s="15"/>
      <c r="H71" s="196" t="s">
        <v>153</v>
      </c>
      <c r="I71" s="197">
        <f>Parameters!$B$1*J71</f>
        <v>14.221499999999999</v>
      </c>
      <c r="J71" s="198">
        <v>0.56999999999999995</v>
      </c>
      <c r="K71" s="199"/>
      <c r="L71" s="200"/>
      <c r="M71" s="24"/>
      <c r="N71" s="11"/>
      <c r="O71" s="11"/>
      <c r="P71" s="11"/>
      <c r="Q71" s="11"/>
      <c r="R71" s="11"/>
      <c r="S71" s="11"/>
      <c r="T71" s="11"/>
    </row>
    <row r="72" spans="1:20" ht="15.75" customHeight="1">
      <c r="A72" s="201"/>
      <c r="B72" s="202"/>
      <c r="C72" s="203"/>
      <c r="D72" s="11"/>
      <c r="E72" s="11"/>
      <c r="F72" s="11"/>
      <c r="G72" s="15"/>
      <c r="H72" s="196" t="s">
        <v>154</v>
      </c>
      <c r="I72" s="197">
        <f>Parameters!$B$1*J72</f>
        <v>14.221499999999999</v>
      </c>
      <c r="J72" s="198">
        <v>0.56999999999999995</v>
      </c>
      <c r="K72" s="199"/>
      <c r="L72" s="200"/>
      <c r="M72" s="24"/>
      <c r="N72" s="11"/>
      <c r="O72" s="11"/>
      <c r="P72" s="11"/>
      <c r="Q72" s="11"/>
      <c r="R72" s="11"/>
      <c r="S72" s="11"/>
      <c r="T72" s="11"/>
    </row>
    <row r="73" spans="1:20" ht="15.75" customHeight="1">
      <c r="A73" s="201"/>
      <c r="B73" s="202"/>
      <c r="C73" s="203"/>
      <c r="D73" s="11"/>
      <c r="E73" s="11"/>
      <c r="F73" s="11"/>
      <c r="G73" s="15"/>
      <c r="H73" s="196" t="s">
        <v>155</v>
      </c>
      <c r="I73" s="197">
        <f>Parameters!$B$1*J73</f>
        <v>7.2354999999999992</v>
      </c>
      <c r="J73" s="198">
        <v>0.28999999999999998</v>
      </c>
      <c r="K73" s="199"/>
      <c r="L73" s="200"/>
      <c r="M73" s="24"/>
      <c r="N73" s="11"/>
      <c r="O73" s="11"/>
      <c r="P73" s="11"/>
      <c r="Q73" s="11"/>
      <c r="R73" s="11"/>
      <c r="S73" s="11"/>
      <c r="T73" s="11"/>
    </row>
    <row r="74" spans="1:20" ht="15.75" customHeight="1">
      <c r="A74" s="11"/>
      <c r="B74" s="204"/>
      <c r="C74" s="11"/>
      <c r="D74" s="11"/>
      <c r="E74" s="11"/>
      <c r="F74" s="11"/>
      <c r="G74" s="15"/>
      <c r="H74" s="196" t="s">
        <v>156</v>
      </c>
      <c r="I74" s="205">
        <f>Parameters!$B$1*K74</f>
        <v>127.9935</v>
      </c>
      <c r="J74" s="206"/>
      <c r="K74" s="207">
        <f>SUM(J67,J68,J69,J70,J71,J72,J73)</f>
        <v>5.13</v>
      </c>
      <c r="L74" s="200"/>
      <c r="M74" s="208" t="s">
        <v>157</v>
      </c>
      <c r="N74" s="11"/>
      <c r="O74" s="11"/>
      <c r="P74" s="11"/>
      <c r="Q74" s="11"/>
      <c r="R74" s="11"/>
      <c r="S74" s="11"/>
      <c r="T74" s="11"/>
    </row>
    <row r="75" spans="1:20" ht="15.75" customHeight="1">
      <c r="A75" s="11"/>
      <c r="B75" s="11"/>
      <c r="C75" s="11"/>
      <c r="D75" s="11"/>
      <c r="E75" s="11"/>
      <c r="F75" s="11"/>
      <c r="G75" s="15"/>
      <c r="H75" s="120" t="s">
        <v>158</v>
      </c>
      <c r="I75" s="135">
        <f>Parameters!$B$1*J75</f>
        <v>53.393000000000001</v>
      </c>
      <c r="J75" s="121">
        <v>2.14</v>
      </c>
      <c r="K75" s="117"/>
      <c r="L75" s="137"/>
      <c r="M75" s="24"/>
      <c r="N75" s="11"/>
      <c r="O75" s="11"/>
      <c r="P75" s="11"/>
      <c r="Q75" s="11"/>
      <c r="R75" s="11"/>
      <c r="S75" s="11"/>
      <c r="T75" s="11"/>
    </row>
    <row r="76" spans="1:20" ht="16.5" customHeight="1">
      <c r="A76" s="11"/>
      <c r="B76" s="11"/>
      <c r="C76" s="11"/>
      <c r="D76" s="11"/>
      <c r="E76" s="11"/>
      <c r="F76" s="11"/>
      <c r="G76" s="15"/>
      <c r="H76" s="120" t="s">
        <v>128</v>
      </c>
      <c r="I76" s="135">
        <f>Parameters!$B$1*J76</f>
        <v>28.941999999999997</v>
      </c>
      <c r="J76" s="121">
        <v>1.1599999999999999</v>
      </c>
      <c r="K76" s="121"/>
      <c r="L76" s="122"/>
      <c r="M76" s="24"/>
      <c r="N76" s="11"/>
      <c r="O76" s="11"/>
      <c r="P76" s="11"/>
      <c r="Q76" s="11"/>
      <c r="R76" s="11"/>
      <c r="S76" s="11"/>
      <c r="T76" s="11"/>
    </row>
    <row r="77" spans="1:20" ht="15.75" customHeight="1">
      <c r="A77" s="11"/>
      <c r="B77" s="11"/>
      <c r="C77" s="11"/>
      <c r="D77" s="11"/>
      <c r="E77" s="11"/>
      <c r="F77" s="11"/>
      <c r="G77" s="15"/>
      <c r="H77" s="43" t="s">
        <v>159</v>
      </c>
      <c r="I77" s="44">
        <f>Parameters!$B$1*J77</f>
        <v>91.850000000000009</v>
      </c>
      <c r="J77" s="45">
        <f>R22</f>
        <v>3.681362725450902</v>
      </c>
      <c r="K77" s="121"/>
      <c r="L77" s="122"/>
      <c r="M77" s="24"/>
      <c r="N77" s="11"/>
      <c r="O77" s="11"/>
      <c r="P77" s="11"/>
      <c r="Q77" s="11"/>
      <c r="R77" s="11"/>
      <c r="S77" s="11"/>
      <c r="T77" s="11"/>
    </row>
    <row r="78" spans="1:20" ht="16.5" customHeight="1">
      <c r="A78" s="11"/>
      <c r="B78" s="11"/>
      <c r="C78" s="11"/>
      <c r="D78" s="11"/>
      <c r="E78" s="11"/>
      <c r="F78" s="11"/>
      <c r="G78" s="15"/>
      <c r="H78" s="149" t="s">
        <v>101</v>
      </c>
      <c r="I78" s="150"/>
      <c r="J78" s="151"/>
      <c r="K78" s="152">
        <f>SUM(J62:J77)</f>
        <v>15.181362725450903</v>
      </c>
      <c r="L78" s="153">
        <f>L61+K78</f>
        <v>62.8413627254509</v>
      </c>
      <c r="M78" s="54" t="s">
        <v>160</v>
      </c>
      <c r="N78" s="11"/>
      <c r="O78" s="11"/>
      <c r="P78" s="11"/>
      <c r="Q78" s="11"/>
      <c r="R78" s="11"/>
      <c r="S78" s="11"/>
      <c r="T78" s="11"/>
    </row>
    <row r="79" spans="1:20" ht="15" customHeight="1">
      <c r="A79" s="11"/>
      <c r="B79" s="11"/>
      <c r="C79" s="11"/>
      <c r="D79" s="11"/>
      <c r="E79" s="11"/>
      <c r="F79" s="11"/>
      <c r="G79" s="11"/>
      <c r="H79" s="60"/>
      <c r="I79" s="60"/>
      <c r="J79" s="60"/>
      <c r="K79" s="60"/>
      <c r="L79" s="60"/>
      <c r="M79" s="11"/>
      <c r="N79" s="11"/>
      <c r="O79" s="11"/>
      <c r="P79" s="11"/>
      <c r="Q79" s="11"/>
      <c r="R79" s="11"/>
      <c r="S79" s="11"/>
      <c r="T79" s="11"/>
    </row>
    <row r="80" spans="1:20" ht="15" customHeight="1">
      <c r="A80" s="11"/>
      <c r="B80" s="11"/>
      <c r="C80" s="11"/>
      <c r="D80" s="11"/>
      <c r="E80" s="11"/>
      <c r="F80" s="11"/>
      <c r="G80" s="11"/>
      <c r="H80" s="11"/>
      <c r="I80" s="11"/>
      <c r="J80" s="11"/>
      <c r="K80" s="11"/>
      <c r="L80" s="11"/>
      <c r="M80" s="11"/>
      <c r="N80" s="11"/>
      <c r="O80" s="11"/>
      <c r="P80" s="11"/>
      <c r="Q80" s="11"/>
      <c r="R80" s="11"/>
      <c r="S80" s="11"/>
      <c r="T80" s="11"/>
    </row>
    <row r="81" spans="1:20" ht="15" customHeight="1">
      <c r="A81" s="11"/>
      <c r="B81" s="11"/>
      <c r="C81" s="11"/>
      <c r="D81" s="11"/>
      <c r="E81" s="11"/>
      <c r="F81" s="11"/>
      <c r="G81" s="11"/>
      <c r="H81" s="11"/>
      <c r="I81" s="11"/>
      <c r="J81" s="11"/>
      <c r="K81" s="11"/>
      <c r="L81" s="11"/>
      <c r="M81" s="11"/>
      <c r="N81" s="11"/>
      <c r="O81" s="11"/>
      <c r="P81" s="11"/>
      <c r="Q81" s="11"/>
      <c r="R81" s="11"/>
      <c r="S81" s="11"/>
      <c r="T81" s="11"/>
    </row>
    <row r="82" spans="1:20" ht="15" customHeight="1">
      <c r="A82" s="11"/>
      <c r="B82" s="11"/>
      <c r="C82" s="11"/>
      <c r="D82" s="11"/>
      <c r="E82" s="11"/>
      <c r="F82" s="11"/>
      <c r="G82" s="11"/>
      <c r="H82" s="11"/>
      <c r="I82" s="11"/>
      <c r="J82" s="11"/>
      <c r="K82" s="11"/>
      <c r="L82" s="11"/>
      <c r="M82" s="11"/>
      <c r="N82" s="11"/>
      <c r="O82" s="11"/>
      <c r="P82" s="11"/>
      <c r="Q82" s="11"/>
      <c r="R82" s="11"/>
      <c r="S82" s="11"/>
      <c r="T82" s="11"/>
    </row>
    <row r="83" spans="1:20" ht="15" customHeight="1">
      <c r="A83" s="11"/>
      <c r="B83" s="11"/>
      <c r="C83" s="11"/>
      <c r="D83" s="11"/>
      <c r="E83" s="11"/>
      <c r="F83" s="11"/>
      <c r="G83" s="11"/>
      <c r="H83" s="11"/>
      <c r="I83" s="11"/>
      <c r="J83" s="11"/>
      <c r="K83" s="11"/>
      <c r="L83" s="11"/>
      <c r="M83" s="11"/>
      <c r="N83" s="11"/>
      <c r="O83" s="11"/>
      <c r="P83" s="11"/>
      <c r="Q83" s="11"/>
      <c r="R83" s="11"/>
      <c r="S83" s="11"/>
      <c r="T83" s="11"/>
    </row>
    <row r="84" spans="1:20" ht="15" customHeight="1">
      <c r="A84" s="11"/>
      <c r="B84" s="11"/>
      <c r="C84" s="11"/>
      <c r="D84" s="11"/>
      <c r="E84" s="11"/>
      <c r="F84" s="11"/>
      <c r="G84" s="11"/>
      <c r="H84" s="11"/>
      <c r="I84" s="11"/>
      <c r="J84" s="11"/>
      <c r="K84" s="11"/>
      <c r="L84" s="11"/>
      <c r="M84" s="11"/>
      <c r="N84" s="11"/>
      <c r="O84" s="11"/>
      <c r="P84" s="11"/>
      <c r="Q84" s="11"/>
      <c r="R84" s="11"/>
      <c r="S84" s="11"/>
      <c r="T84" s="11"/>
    </row>
    <row r="85" spans="1:20" ht="15" customHeight="1">
      <c r="A85" s="11"/>
      <c r="B85" s="11"/>
      <c r="C85" s="11"/>
      <c r="D85" s="11"/>
      <c r="E85" s="11"/>
      <c r="F85" s="11"/>
      <c r="G85" s="11"/>
      <c r="H85" s="11"/>
      <c r="I85" s="11"/>
      <c r="J85" s="11"/>
      <c r="K85" s="11"/>
      <c r="L85" s="11"/>
      <c r="M85" s="11"/>
      <c r="N85" s="11"/>
      <c r="O85" s="11"/>
      <c r="P85" s="11"/>
      <c r="Q85" s="11"/>
      <c r="R85" s="11"/>
      <c r="S85" s="11"/>
      <c r="T85" s="11"/>
    </row>
    <row r="86" spans="1:20" ht="15" customHeight="1">
      <c r="A86" s="11"/>
      <c r="B86" s="11"/>
      <c r="C86" s="11"/>
      <c r="D86" s="11"/>
      <c r="E86" s="11"/>
      <c r="F86" s="11"/>
      <c r="G86" s="11"/>
      <c r="H86" s="11"/>
      <c r="I86" s="11"/>
      <c r="J86" s="11"/>
      <c r="K86" s="11"/>
      <c r="L86" s="11"/>
      <c r="M86" s="11"/>
      <c r="N86" s="11"/>
      <c r="O86" s="11"/>
      <c r="P86" s="11"/>
      <c r="Q86" s="11"/>
      <c r="R86" s="11"/>
      <c r="S86" s="11"/>
      <c r="T86" s="11"/>
    </row>
    <row r="87" spans="1:20" ht="15" customHeight="1">
      <c r="A87" s="11"/>
      <c r="B87" s="11"/>
      <c r="C87" s="11"/>
      <c r="D87" s="11"/>
      <c r="E87" s="11"/>
      <c r="F87" s="11"/>
      <c r="G87" s="11"/>
      <c r="H87" s="11"/>
      <c r="I87" s="11"/>
      <c r="J87" s="11"/>
      <c r="K87" s="11"/>
      <c r="L87" s="11"/>
      <c r="M87" s="11"/>
      <c r="N87" s="11"/>
      <c r="O87" s="11"/>
      <c r="P87" s="11"/>
      <c r="Q87" s="11"/>
      <c r="R87" s="11"/>
      <c r="S87" s="11"/>
      <c r="T87" s="11"/>
    </row>
    <row r="88" spans="1:20" ht="15" customHeight="1">
      <c r="A88" s="11"/>
      <c r="B88" s="11"/>
      <c r="C88" s="11"/>
      <c r="D88" s="11"/>
      <c r="E88" s="11"/>
      <c r="F88" s="11"/>
      <c r="G88" s="11"/>
      <c r="H88" s="11"/>
      <c r="I88" s="11"/>
      <c r="J88" s="11"/>
      <c r="K88" s="11"/>
      <c r="L88" s="11"/>
      <c r="M88" s="11"/>
      <c r="N88" s="11"/>
      <c r="O88" s="11"/>
      <c r="P88" s="11"/>
      <c r="Q88" s="11"/>
      <c r="R88" s="11"/>
      <c r="S88" s="11"/>
      <c r="T88" s="11"/>
    </row>
    <row r="89" spans="1:20" ht="15" customHeight="1">
      <c r="A89" s="11"/>
      <c r="B89" s="11"/>
      <c r="C89" s="11"/>
      <c r="D89" s="11"/>
      <c r="E89" s="11"/>
      <c r="F89" s="11"/>
      <c r="G89" s="11"/>
      <c r="H89" s="11"/>
      <c r="I89" s="11"/>
      <c r="J89" s="11"/>
      <c r="K89" s="11"/>
      <c r="L89" s="11"/>
      <c r="M89" s="11"/>
      <c r="N89" s="11"/>
      <c r="O89" s="11"/>
      <c r="P89" s="11"/>
      <c r="Q89" s="11"/>
      <c r="R89" s="11"/>
      <c r="S89" s="11"/>
      <c r="T89" s="11"/>
    </row>
    <row r="90" spans="1:20" ht="15" customHeight="1">
      <c r="A90" s="11"/>
      <c r="B90" s="11"/>
      <c r="C90" s="11"/>
      <c r="D90" s="11"/>
      <c r="E90" s="11"/>
      <c r="F90" s="11"/>
      <c r="G90" s="11"/>
      <c r="H90" s="11"/>
      <c r="I90" s="11"/>
      <c r="J90" s="11"/>
      <c r="K90" s="11"/>
      <c r="L90" s="11"/>
      <c r="M90" s="11"/>
      <c r="N90" s="11"/>
      <c r="O90" s="11"/>
      <c r="P90" s="11"/>
      <c r="Q90" s="11"/>
      <c r="R90" s="11"/>
      <c r="S90" s="11"/>
      <c r="T90" s="11"/>
    </row>
    <row r="91" spans="1:20" ht="15" customHeight="1">
      <c r="A91" s="11"/>
      <c r="B91" s="11"/>
      <c r="C91" s="11"/>
      <c r="D91" s="11"/>
      <c r="E91" s="11"/>
      <c r="F91" s="11"/>
      <c r="G91" s="11"/>
      <c r="H91" s="11"/>
      <c r="I91" s="11"/>
      <c r="J91" s="11"/>
      <c r="K91" s="11"/>
      <c r="L91" s="11"/>
      <c r="M91" s="11"/>
      <c r="N91" s="11"/>
      <c r="O91" s="11"/>
      <c r="P91" s="11"/>
      <c r="Q91" s="11"/>
      <c r="R91" s="11"/>
      <c r="S91" s="11"/>
      <c r="T91" s="11"/>
    </row>
  </sheetData>
  <mergeCells count="2">
    <mergeCell ref="A32:A46"/>
    <mergeCell ref="A19:A26"/>
  </mergeCells>
  <pageMargins left="0.15748000000000001" right="0.15748000000000001" top="0.19685" bottom="0" header="0.11811000000000001" footer="0.19685"/>
  <pageSetup orientation="landscape"/>
  <headerFooter>
    <oddHeader>&amp;L&amp;"Calibri,Regular"&amp;11&amp;K000000https://edms.cern.ch/document/1256858/1 &amp;C&amp;"Calibri,Regular"&amp;11&amp;K000000Working_Draft_Latency_Envelope_5Nov18.xlsx&amp;R&amp;"Calibri,Regular"&amp;11&amp;K000000L1Calo_Phase_I</oddHead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61"/>
  <sheetViews>
    <sheetView showGridLines="0" workbookViewId="0"/>
  </sheetViews>
  <sheetFormatPr baseColWidth="10" defaultColWidth="8.85546875" defaultRowHeight="15" customHeight="1"/>
  <cols>
    <col min="1" max="1" width="8.85546875" style="209" customWidth="1"/>
    <col min="2" max="2" width="57.85546875" style="209" customWidth="1"/>
    <col min="3" max="6" width="9.140625" style="209" customWidth="1"/>
    <col min="7" max="8" width="8.85546875" style="209" customWidth="1"/>
    <col min="9" max="9" width="43.42578125" style="209" customWidth="1"/>
    <col min="10" max="10" width="10.42578125" style="209" customWidth="1"/>
    <col min="11" max="11" width="7.28515625" style="209" customWidth="1"/>
    <col min="12" max="12" width="8.85546875" style="209" customWidth="1"/>
    <col min="13" max="13" width="11.85546875" style="209" customWidth="1"/>
    <col min="14" max="15" width="8.85546875" style="209" customWidth="1"/>
    <col min="16" max="16" width="50.42578125" style="209" customWidth="1"/>
    <col min="17" max="17" width="18" style="209" customWidth="1"/>
    <col min="18" max="20" width="9.140625" style="209" customWidth="1"/>
    <col min="21" max="23" width="8.85546875" style="209" customWidth="1"/>
    <col min="24" max="16384" width="8.85546875" style="209"/>
  </cols>
  <sheetData>
    <row r="1" spans="1:22" ht="15" customHeight="1">
      <c r="A1" s="8"/>
      <c r="B1" s="8"/>
      <c r="C1" s="100"/>
      <c r="D1" s="100"/>
      <c r="E1" s="100"/>
      <c r="F1" s="100"/>
      <c r="G1" s="8"/>
      <c r="H1" s="8"/>
      <c r="I1" s="8"/>
      <c r="J1" s="100"/>
      <c r="K1" s="8"/>
      <c r="L1" s="8"/>
      <c r="M1" s="8"/>
      <c r="N1" s="8"/>
      <c r="O1" s="8"/>
      <c r="P1" s="8"/>
      <c r="Q1" s="100"/>
      <c r="R1" s="100"/>
      <c r="S1" s="100"/>
      <c r="T1" s="100"/>
      <c r="U1" s="8"/>
      <c r="V1" s="8"/>
    </row>
    <row r="2" spans="1:22" ht="15" customHeight="1">
      <c r="A2" s="8"/>
      <c r="B2" s="8"/>
      <c r="C2" s="100"/>
      <c r="D2" s="100"/>
      <c r="E2" s="100"/>
      <c r="F2" s="100"/>
      <c r="G2" s="8"/>
      <c r="H2" s="8"/>
      <c r="I2" s="8"/>
      <c r="J2" s="100"/>
      <c r="K2" s="8"/>
      <c r="L2" s="8"/>
      <c r="M2" s="8"/>
      <c r="N2" s="8"/>
      <c r="O2" s="8"/>
      <c r="P2" s="8"/>
      <c r="Q2" s="100"/>
      <c r="R2" s="100"/>
      <c r="S2" s="100"/>
      <c r="T2" s="100"/>
      <c r="U2" s="8"/>
      <c r="V2" s="8"/>
    </row>
    <row r="3" spans="1:22" ht="24" customHeight="1">
      <c r="A3" s="8"/>
      <c r="B3" s="8"/>
      <c r="C3" s="100"/>
      <c r="D3" s="100"/>
      <c r="E3" s="100"/>
      <c r="F3" s="100"/>
      <c r="G3" s="8"/>
      <c r="H3" s="8"/>
      <c r="I3" s="8"/>
      <c r="J3" s="100"/>
      <c r="K3" s="8"/>
      <c r="L3" s="8"/>
      <c r="M3" s="8"/>
      <c r="N3" s="8"/>
      <c r="O3" s="8"/>
      <c r="P3" s="210" t="s">
        <v>162</v>
      </c>
      <c r="Q3" s="211"/>
      <c r="R3" s="211"/>
      <c r="S3" s="211"/>
      <c r="T3" s="211"/>
      <c r="U3" s="8"/>
      <c r="V3" s="8"/>
    </row>
    <row r="4" spans="1:22" ht="15.75" customHeight="1">
      <c r="A4" s="8"/>
      <c r="B4" s="8"/>
      <c r="C4" s="100"/>
      <c r="D4" s="100"/>
      <c r="E4" s="100"/>
      <c r="F4" s="100"/>
      <c r="G4" s="8"/>
      <c r="H4" s="8"/>
      <c r="I4" s="8"/>
      <c r="J4" s="100"/>
      <c r="K4" s="8"/>
      <c r="L4" s="8"/>
      <c r="M4" s="8"/>
      <c r="N4" s="8"/>
      <c r="O4" s="212"/>
      <c r="P4" s="213"/>
      <c r="Q4" s="214" t="s">
        <v>18</v>
      </c>
      <c r="R4" s="215" t="s">
        <v>19</v>
      </c>
      <c r="S4" s="215" t="s">
        <v>20</v>
      </c>
      <c r="T4" s="216" t="s">
        <v>21</v>
      </c>
      <c r="U4" s="217"/>
      <c r="V4" s="8"/>
    </row>
    <row r="5" spans="1:22" ht="15" customHeight="1">
      <c r="A5" s="8"/>
      <c r="B5" s="8"/>
      <c r="C5" s="100"/>
      <c r="D5" s="100"/>
      <c r="E5" s="100"/>
      <c r="F5" s="100"/>
      <c r="G5" s="8"/>
      <c r="H5" s="8"/>
      <c r="I5" s="8"/>
      <c r="J5" s="100"/>
      <c r="K5" s="8"/>
      <c r="L5" s="8"/>
      <c r="M5" s="8"/>
      <c r="N5" s="8"/>
      <c r="O5" s="212"/>
      <c r="P5" s="218" t="s">
        <v>163</v>
      </c>
      <c r="Q5" s="219">
        <v>31.6</v>
      </c>
      <c r="R5" s="220">
        <f>Q5/Parameters!$B$1</f>
        <v>1.2665330661322647</v>
      </c>
      <c r="S5" s="220"/>
      <c r="T5" s="221"/>
      <c r="U5" s="222" t="s">
        <v>164</v>
      </c>
      <c r="V5" s="8"/>
    </row>
    <row r="6" spans="1:22" ht="17.100000000000001" customHeight="1">
      <c r="A6" s="8"/>
      <c r="B6" s="223" t="s">
        <v>165</v>
      </c>
      <c r="C6" s="224"/>
      <c r="D6" s="225"/>
      <c r="E6" s="225"/>
      <c r="F6" s="225"/>
      <c r="G6" s="8"/>
      <c r="H6" s="8"/>
      <c r="I6" s="8"/>
      <c r="J6" s="100"/>
      <c r="K6" s="8"/>
      <c r="L6" s="8"/>
      <c r="M6" s="8"/>
      <c r="N6" s="8"/>
      <c r="O6" s="212"/>
      <c r="P6" s="226" t="s">
        <v>166</v>
      </c>
      <c r="Q6" s="227">
        <v>20.9</v>
      </c>
      <c r="R6" s="228">
        <f>Q6/Parameters!$B$1</f>
        <v>0.83767535070140275</v>
      </c>
      <c r="S6" s="228"/>
      <c r="T6" s="229"/>
      <c r="U6" s="222" t="s">
        <v>85</v>
      </c>
      <c r="V6" s="8"/>
    </row>
    <row r="7" spans="1:22" ht="15.75" customHeight="1">
      <c r="A7" s="212"/>
      <c r="B7" s="213"/>
      <c r="C7" s="214" t="s">
        <v>18</v>
      </c>
      <c r="D7" s="215" t="s">
        <v>19</v>
      </c>
      <c r="E7" s="215" t="s">
        <v>20</v>
      </c>
      <c r="F7" s="216" t="s">
        <v>21</v>
      </c>
      <c r="G7" s="217"/>
      <c r="H7" s="8"/>
      <c r="I7" s="8"/>
      <c r="J7" s="100"/>
      <c r="K7" s="8"/>
      <c r="L7" s="8"/>
      <c r="M7" s="8"/>
      <c r="N7" s="8"/>
      <c r="O7" s="212"/>
      <c r="P7" s="226" t="s">
        <v>167</v>
      </c>
      <c r="Q7" s="227">
        <f>25</f>
        <v>25</v>
      </c>
      <c r="R7" s="228">
        <f>Q7/Parameters!$B$1</f>
        <v>1.0020040080160322</v>
      </c>
      <c r="S7" s="228"/>
      <c r="T7" s="229"/>
      <c r="U7" s="222" t="s">
        <v>85</v>
      </c>
      <c r="V7" s="230"/>
    </row>
    <row r="8" spans="1:22" ht="15.75" customHeight="1">
      <c r="A8" s="212"/>
      <c r="B8" s="231" t="s">
        <v>168</v>
      </c>
      <c r="C8" s="110">
        <v>67</v>
      </c>
      <c r="D8" s="111">
        <f t="shared" ref="D8:D17" si="0">C8/25</f>
        <v>2.68</v>
      </c>
      <c r="E8" s="111"/>
      <c r="F8" s="232"/>
      <c r="G8" s="217"/>
      <c r="H8" s="8"/>
      <c r="I8" s="8"/>
      <c r="J8" s="100"/>
      <c r="K8" s="8"/>
      <c r="L8" s="8"/>
      <c r="M8" s="8"/>
      <c r="N8" s="8"/>
      <c r="O8" s="212"/>
      <c r="P8" s="226" t="s">
        <v>169</v>
      </c>
      <c r="Q8" s="227">
        <v>40.4</v>
      </c>
      <c r="R8" s="228">
        <f>Q8/Parameters!$B$1</f>
        <v>1.6192384769539079</v>
      </c>
      <c r="S8" s="228"/>
      <c r="T8" s="229"/>
      <c r="U8" s="222" t="s">
        <v>170</v>
      </c>
      <c r="V8" s="8"/>
    </row>
    <row r="9" spans="1:22" ht="15.75" customHeight="1">
      <c r="A9" s="212"/>
      <c r="B9" s="233" t="s">
        <v>171</v>
      </c>
      <c r="C9" s="116">
        <v>25</v>
      </c>
      <c r="D9" s="117">
        <f t="shared" si="0"/>
        <v>1</v>
      </c>
      <c r="E9" s="117"/>
      <c r="F9" s="137"/>
      <c r="G9" s="217"/>
      <c r="H9" s="8"/>
      <c r="I9" s="8"/>
      <c r="J9" s="100"/>
      <c r="K9" s="8"/>
      <c r="L9" s="8"/>
      <c r="M9" s="8"/>
      <c r="N9" s="8"/>
      <c r="O9" s="212"/>
      <c r="P9" s="43" t="s">
        <v>172</v>
      </c>
      <c r="Q9" s="45">
        <f>27.8</f>
        <v>27.8</v>
      </c>
      <c r="R9" s="45">
        <f>Q9/Parameters!$B$1</f>
        <v>1.1142284569138277</v>
      </c>
      <c r="S9" s="228"/>
      <c r="T9" s="229"/>
      <c r="U9" s="222" t="s">
        <v>85</v>
      </c>
      <c r="V9" s="8"/>
    </row>
    <row r="10" spans="1:22" ht="15.75" customHeight="1">
      <c r="A10" s="212"/>
      <c r="B10" s="43" t="s">
        <v>173</v>
      </c>
      <c r="C10" s="45">
        <v>30</v>
      </c>
      <c r="D10" s="45">
        <f t="shared" si="0"/>
        <v>1.2</v>
      </c>
      <c r="E10" s="117"/>
      <c r="F10" s="137"/>
      <c r="G10" s="217"/>
      <c r="H10" s="8"/>
      <c r="I10" s="223" t="s">
        <v>174</v>
      </c>
      <c r="J10" s="224"/>
      <c r="K10" s="61"/>
      <c r="L10" s="61"/>
      <c r="M10" s="61"/>
      <c r="N10" s="8"/>
      <c r="O10" s="212"/>
      <c r="P10" s="226" t="s">
        <v>175</v>
      </c>
      <c r="Q10" s="227">
        <f>144.4</f>
        <v>144.4</v>
      </c>
      <c r="R10" s="228">
        <f>Q10/Parameters!$B$1</f>
        <v>5.7875751503006017</v>
      </c>
      <c r="S10" s="228"/>
      <c r="T10" s="229"/>
      <c r="U10" s="222" t="s">
        <v>170</v>
      </c>
      <c r="V10" s="8"/>
    </row>
    <row r="11" spans="1:22" ht="15.75" customHeight="1">
      <c r="A11" s="212"/>
      <c r="B11" s="233" t="s">
        <v>176</v>
      </c>
      <c r="C11" s="116">
        <v>15</v>
      </c>
      <c r="D11" s="117">
        <f t="shared" si="0"/>
        <v>0.6</v>
      </c>
      <c r="E11" s="117"/>
      <c r="F11" s="137"/>
      <c r="G11" s="217"/>
      <c r="H11" s="212"/>
      <c r="I11" s="213"/>
      <c r="J11" s="214" t="s">
        <v>18</v>
      </c>
      <c r="K11" s="234" t="s">
        <v>19</v>
      </c>
      <c r="L11" s="234" t="s">
        <v>20</v>
      </c>
      <c r="M11" s="235" t="s">
        <v>21</v>
      </c>
      <c r="N11" s="217"/>
      <c r="O11" s="212"/>
      <c r="P11" s="226" t="s">
        <v>177</v>
      </c>
      <c r="Q11" s="227">
        <f>20.3</f>
        <v>20.3</v>
      </c>
      <c r="R11" s="228">
        <f>Q11/Parameters!$B$1</f>
        <v>0.81362725450901807</v>
      </c>
      <c r="S11" s="228"/>
      <c r="T11" s="229"/>
      <c r="U11" s="222" t="s">
        <v>164</v>
      </c>
      <c r="V11" s="8"/>
    </row>
    <row r="12" spans="1:22" ht="15.75" customHeight="1">
      <c r="A12" s="212"/>
      <c r="B12" s="43" t="s">
        <v>178</v>
      </c>
      <c r="C12" s="45">
        <v>25</v>
      </c>
      <c r="D12" s="45">
        <f t="shared" si="0"/>
        <v>1</v>
      </c>
      <c r="E12" s="236"/>
      <c r="F12" s="137"/>
      <c r="G12" s="217"/>
      <c r="H12" s="212"/>
      <c r="I12" s="237" t="s">
        <v>179</v>
      </c>
      <c r="J12" s="238">
        <f>Parameters!$B$1*K12</f>
        <v>49.9</v>
      </c>
      <c r="K12" s="239">
        <v>2</v>
      </c>
      <c r="L12" s="239"/>
      <c r="M12" s="240"/>
      <c r="N12" s="217"/>
      <c r="O12" s="212"/>
      <c r="P12" s="43" t="s">
        <v>180</v>
      </c>
      <c r="Q12" s="45">
        <f>31.6</f>
        <v>31.6</v>
      </c>
      <c r="R12" s="45">
        <f>Q12/Parameters!$B$1</f>
        <v>1.2665330661322647</v>
      </c>
      <c r="S12" s="228"/>
      <c r="T12" s="229"/>
      <c r="U12" s="222" t="s">
        <v>85</v>
      </c>
      <c r="V12" s="8"/>
    </row>
    <row r="13" spans="1:22" ht="15.75" customHeight="1">
      <c r="A13" s="212"/>
      <c r="B13" s="233" t="s">
        <v>181</v>
      </c>
      <c r="C13" s="116">
        <v>100</v>
      </c>
      <c r="D13" s="117">
        <f t="shared" si="0"/>
        <v>4</v>
      </c>
      <c r="E13" s="236"/>
      <c r="F13" s="137"/>
      <c r="G13" s="217"/>
      <c r="H13" s="212"/>
      <c r="I13" s="120" t="s">
        <v>182</v>
      </c>
      <c r="J13" s="135">
        <f>Parameters!$B$1*K13</f>
        <v>4.99</v>
      </c>
      <c r="K13" s="121">
        <v>0.2</v>
      </c>
      <c r="L13" s="121"/>
      <c r="M13" s="122"/>
      <c r="N13" s="217"/>
      <c r="O13" s="212"/>
      <c r="P13" s="226" t="s">
        <v>183</v>
      </c>
      <c r="Q13" s="227">
        <f>74.8</f>
        <v>74.8</v>
      </c>
      <c r="R13" s="228">
        <f>Q13/Parameters!$B$1</f>
        <v>2.9979959919839678</v>
      </c>
      <c r="S13" s="228"/>
      <c r="T13" s="229"/>
      <c r="U13" s="222" t="s">
        <v>170</v>
      </c>
      <c r="V13" s="8"/>
    </row>
    <row r="14" spans="1:22" ht="15.75" customHeight="1">
      <c r="A14" s="212"/>
      <c r="B14" s="43" t="s">
        <v>184</v>
      </c>
      <c r="C14" s="45">
        <v>40</v>
      </c>
      <c r="D14" s="45">
        <f t="shared" si="0"/>
        <v>1.6</v>
      </c>
      <c r="E14" s="117"/>
      <c r="F14" s="241"/>
      <c r="G14" s="217"/>
      <c r="H14" s="212"/>
      <c r="I14" s="120" t="s">
        <v>185</v>
      </c>
      <c r="J14" s="135">
        <f>Parameters!$B$1*K14</f>
        <v>2.4950000000000001</v>
      </c>
      <c r="K14" s="121">
        <v>0.1</v>
      </c>
      <c r="L14" s="121"/>
      <c r="M14" s="122"/>
      <c r="N14" s="217"/>
      <c r="O14" s="212"/>
      <c r="P14" s="43" t="s">
        <v>186</v>
      </c>
      <c r="Q14" s="45">
        <f>30.3</f>
        <v>30.3</v>
      </c>
      <c r="R14" s="45">
        <f>Q14/Parameters!$B$1</f>
        <v>1.214428857715431</v>
      </c>
      <c r="S14" s="228"/>
      <c r="T14" s="229"/>
      <c r="U14" s="222" t="s">
        <v>85</v>
      </c>
      <c r="V14" s="8"/>
    </row>
    <row r="15" spans="1:22" ht="15.75" customHeight="1">
      <c r="A15" s="212"/>
      <c r="B15" s="233" t="s">
        <v>187</v>
      </c>
      <c r="C15" s="242">
        <v>200</v>
      </c>
      <c r="D15" s="117">
        <f t="shared" si="0"/>
        <v>8</v>
      </c>
      <c r="E15" s="243"/>
      <c r="F15" s="244"/>
      <c r="G15" s="217"/>
      <c r="H15" s="212"/>
      <c r="I15" s="120" t="s">
        <v>188</v>
      </c>
      <c r="J15" s="135">
        <f>Parameters!$B$1*K15</f>
        <v>4.99</v>
      </c>
      <c r="K15" s="121">
        <v>0.2</v>
      </c>
      <c r="L15" s="121"/>
      <c r="M15" s="122"/>
      <c r="N15" s="217"/>
      <c r="O15" s="212"/>
      <c r="P15" s="226" t="s">
        <v>189</v>
      </c>
      <c r="Q15" s="227">
        <f>97.3</f>
        <v>97.3</v>
      </c>
      <c r="R15" s="228">
        <f>Q15/Parameters!$B$1</f>
        <v>3.8997995991983969</v>
      </c>
      <c r="S15" s="228"/>
      <c r="T15" s="229"/>
      <c r="U15" s="222" t="s">
        <v>85</v>
      </c>
      <c r="V15" s="8"/>
    </row>
    <row r="16" spans="1:22" ht="15.75" customHeight="1">
      <c r="A16" s="212"/>
      <c r="B16" s="233" t="s">
        <v>190</v>
      </c>
      <c r="C16" s="242">
        <v>50</v>
      </c>
      <c r="D16" s="117">
        <f t="shared" si="0"/>
        <v>2</v>
      </c>
      <c r="E16" s="243"/>
      <c r="F16" s="244"/>
      <c r="G16" s="217"/>
      <c r="H16" s="212"/>
      <c r="I16" s="43" t="s">
        <v>191</v>
      </c>
      <c r="J16" s="45">
        <f>Parameters!$B$1*K16</f>
        <v>62.375</v>
      </c>
      <c r="K16" s="45">
        <v>2.5</v>
      </c>
      <c r="L16" s="164">
        <f>SUM(K12:K16)</f>
        <v>5</v>
      </c>
      <c r="M16" s="122"/>
      <c r="N16" s="217"/>
      <c r="O16" s="212"/>
      <c r="P16" s="43" t="s">
        <v>192</v>
      </c>
      <c r="Q16" s="45">
        <v>2.5</v>
      </c>
      <c r="R16" s="45">
        <f>Q16/Parameters!$B$1</f>
        <v>0.10020040080160321</v>
      </c>
      <c r="S16" s="228"/>
      <c r="T16" s="229"/>
      <c r="U16" s="222" t="s">
        <v>85</v>
      </c>
      <c r="V16" s="8"/>
    </row>
    <row r="17" spans="1:22" ht="15.75" customHeight="1">
      <c r="A17" s="212"/>
      <c r="B17" s="43" t="s">
        <v>193</v>
      </c>
      <c r="C17" s="45">
        <v>405</v>
      </c>
      <c r="D17" s="245">
        <f t="shared" si="0"/>
        <v>16.2</v>
      </c>
      <c r="E17" s="243"/>
      <c r="F17" s="244"/>
      <c r="G17" s="217"/>
      <c r="H17" s="212"/>
      <c r="I17" s="120" t="s">
        <v>194</v>
      </c>
      <c r="J17" s="135">
        <f>Parameters!$B$1*K17</f>
        <v>37.424999999999997</v>
      </c>
      <c r="K17" s="121">
        <v>1.5</v>
      </c>
      <c r="L17" s="121"/>
      <c r="M17" s="122"/>
      <c r="N17" s="217"/>
      <c r="O17" s="212"/>
      <c r="P17" s="43" t="s">
        <v>195</v>
      </c>
      <c r="Q17" s="45">
        <v>81.5</v>
      </c>
      <c r="R17" s="45">
        <f>Q17/Parameters!$B$1</f>
        <v>3.2665330661322645</v>
      </c>
      <c r="S17" s="228"/>
      <c r="T17" s="229"/>
      <c r="U17" s="222" t="s">
        <v>85</v>
      </c>
      <c r="V17" s="8"/>
    </row>
    <row r="18" spans="1:22" ht="15.75" customHeight="1">
      <c r="A18" s="212"/>
      <c r="B18" s="246"/>
      <c r="C18" s="247">
        <f>SUM(C8:C17)</f>
        <v>957</v>
      </c>
      <c r="D18" s="248"/>
      <c r="E18" s="248"/>
      <c r="F18" s="249">
        <f>C18/25</f>
        <v>38.28</v>
      </c>
      <c r="G18" s="222" t="s">
        <v>196</v>
      </c>
      <c r="H18" s="212"/>
      <c r="I18" s="120" t="s">
        <v>197</v>
      </c>
      <c r="J18" s="135">
        <f>Parameters!$B$1*K18</f>
        <v>24.95</v>
      </c>
      <c r="K18" s="121">
        <v>1</v>
      </c>
      <c r="L18" s="121"/>
      <c r="M18" s="122"/>
      <c r="N18" s="217"/>
      <c r="O18" s="212"/>
      <c r="P18" s="43" t="s">
        <v>198</v>
      </c>
      <c r="Q18" s="45">
        <v>210</v>
      </c>
      <c r="R18" s="45">
        <f>Q18/Parameters!$B$1</f>
        <v>8.4168336673346698</v>
      </c>
      <c r="S18" s="250">
        <f>SUM(R5,R6,R7,R8,R9,R10,R11,R12,R13,R14,R15,R16,R17,R18)</f>
        <v>33.603206412825649</v>
      </c>
      <c r="T18" s="229"/>
      <c r="U18" s="222" t="s">
        <v>85</v>
      </c>
      <c r="V18" s="8"/>
    </row>
    <row r="19" spans="1:22" ht="15.75" customHeight="1">
      <c r="A19" s="8"/>
      <c r="B19" s="251"/>
      <c r="C19" s="96"/>
      <c r="D19" s="96"/>
      <c r="E19" s="96"/>
      <c r="F19" s="96"/>
      <c r="G19" s="8"/>
      <c r="H19" s="212"/>
      <c r="I19" s="120" t="s">
        <v>199</v>
      </c>
      <c r="J19" s="135">
        <f>Parameters!$B$1*K19</f>
        <v>24.95</v>
      </c>
      <c r="K19" s="121">
        <v>1</v>
      </c>
      <c r="L19" s="121"/>
      <c r="M19" s="122"/>
      <c r="N19" s="217"/>
      <c r="O19" s="212"/>
      <c r="P19" s="226" t="s">
        <v>200</v>
      </c>
      <c r="Q19" s="227">
        <v>150.6</v>
      </c>
      <c r="R19" s="228">
        <f>Q19/Parameters!$B$1</f>
        <v>6.0360721442885774</v>
      </c>
      <c r="S19" s="228"/>
      <c r="T19" s="229"/>
      <c r="U19" s="222" t="s">
        <v>85</v>
      </c>
      <c r="V19" s="8"/>
    </row>
    <row r="20" spans="1:22" ht="15.75" customHeight="1">
      <c r="A20" s="8"/>
      <c r="B20" s="223" t="s">
        <v>201</v>
      </c>
      <c r="C20" s="211"/>
      <c r="D20" s="211"/>
      <c r="E20" s="211"/>
      <c r="F20" s="211"/>
      <c r="G20" s="8"/>
      <c r="H20" s="212"/>
      <c r="I20" s="120" t="s">
        <v>202</v>
      </c>
      <c r="J20" s="135">
        <f>Parameters!$B$1*K20</f>
        <v>24.95</v>
      </c>
      <c r="K20" s="121">
        <v>1</v>
      </c>
      <c r="L20" s="121"/>
      <c r="M20" s="122"/>
      <c r="N20" s="217"/>
      <c r="O20" s="212"/>
      <c r="P20" s="226" t="s">
        <v>203</v>
      </c>
      <c r="Q20" s="227">
        <v>33.4</v>
      </c>
      <c r="R20" s="228">
        <f>Q20/Parameters!$B$1</f>
        <v>1.3386773547094188</v>
      </c>
      <c r="S20" s="228"/>
      <c r="T20" s="229"/>
      <c r="U20" s="222" t="s">
        <v>170</v>
      </c>
      <c r="V20" s="8"/>
    </row>
    <row r="21" spans="1:22" ht="15.75" customHeight="1">
      <c r="A21" s="212"/>
      <c r="B21" s="252"/>
      <c r="C21" s="253" t="s">
        <v>18</v>
      </c>
      <c r="D21" s="254" t="s">
        <v>19</v>
      </c>
      <c r="E21" s="254" t="s">
        <v>20</v>
      </c>
      <c r="F21" s="255" t="s">
        <v>21</v>
      </c>
      <c r="G21" s="217"/>
      <c r="H21" s="212"/>
      <c r="I21" s="43" t="s">
        <v>204</v>
      </c>
      <c r="J21" s="45">
        <f>Parameters!$B$1*K21</f>
        <v>74.849999999999994</v>
      </c>
      <c r="K21" s="45">
        <v>3</v>
      </c>
      <c r="L21" s="164">
        <f>SUM(K17:K21)</f>
        <v>7.5</v>
      </c>
      <c r="M21" s="122"/>
      <c r="N21" s="217"/>
      <c r="O21" s="212"/>
      <c r="P21" s="43" t="s">
        <v>205</v>
      </c>
      <c r="Q21" s="45">
        <v>25</v>
      </c>
      <c r="R21" s="45">
        <f>Q21/Parameters!$B$1</f>
        <v>1.0020040080160322</v>
      </c>
      <c r="S21" s="250">
        <f>SUM(R19,R20,R21)</f>
        <v>8.376753507014028</v>
      </c>
      <c r="T21" s="229"/>
      <c r="U21" s="222" t="s">
        <v>104</v>
      </c>
      <c r="V21" s="8"/>
    </row>
    <row r="22" spans="1:22" ht="15.75" customHeight="1">
      <c r="A22" s="212"/>
      <c r="B22" s="256" t="s">
        <v>206</v>
      </c>
      <c r="C22" s="257"/>
      <c r="D22" s="258"/>
      <c r="E22" s="258"/>
      <c r="F22" s="259">
        <f>F18</f>
        <v>38.28</v>
      </c>
      <c r="G22" s="217"/>
      <c r="H22" s="212"/>
      <c r="I22" s="260"/>
      <c r="J22" s="135"/>
      <c r="K22" s="121"/>
      <c r="L22" s="121"/>
      <c r="M22" s="122">
        <f>SUM(L16,L21)</f>
        <v>12.5</v>
      </c>
      <c r="N22" s="217"/>
      <c r="O22" s="212"/>
      <c r="P22" s="261"/>
      <c r="Q22" s="262"/>
      <c r="R22" s="228"/>
      <c r="S22" s="228"/>
      <c r="T22" s="229"/>
      <c r="U22" s="263"/>
      <c r="V22" s="8"/>
    </row>
    <row r="23" spans="1:22" ht="15.75" customHeight="1">
      <c r="A23" s="212"/>
      <c r="B23" s="256" t="s">
        <v>207</v>
      </c>
      <c r="C23" s="257">
        <v>175</v>
      </c>
      <c r="D23" s="258">
        <f t="shared" ref="D23:D28" si="1">C23/25</f>
        <v>7</v>
      </c>
      <c r="E23" s="258"/>
      <c r="F23" s="264"/>
      <c r="G23" s="217"/>
      <c r="H23" s="212"/>
      <c r="I23" s="50" t="s">
        <v>208</v>
      </c>
      <c r="J23" s="51">
        <f>Parameters!$B$1*K23</f>
        <v>49.9</v>
      </c>
      <c r="K23" s="52">
        <v>2</v>
      </c>
      <c r="L23" s="52"/>
      <c r="M23" s="53"/>
      <c r="N23" s="217"/>
      <c r="O23" s="212"/>
      <c r="P23" s="265" t="s">
        <v>209</v>
      </c>
      <c r="Q23" s="266">
        <f>SUM(Q5,Q6,Q7,Q8,Q9,Q10,Q11,Q12,Q13,Q14,Q15,Q16,Q17,Q18,Q19,Q20,Q21)</f>
        <v>1047.4000000000001</v>
      </c>
      <c r="R23" s="267"/>
      <c r="S23" s="268">
        <f>SUM(S21,S18)</f>
        <v>41.979959919839679</v>
      </c>
      <c r="T23" s="269">
        <f>S23</f>
        <v>41.979959919839679</v>
      </c>
      <c r="U23" s="222" t="s">
        <v>210</v>
      </c>
      <c r="V23" s="8"/>
    </row>
    <row r="24" spans="1:22" ht="15.75" customHeight="1">
      <c r="A24" s="212"/>
      <c r="B24" s="256" t="s">
        <v>211</v>
      </c>
      <c r="C24" s="257">
        <v>15</v>
      </c>
      <c r="D24" s="258">
        <f t="shared" si="1"/>
        <v>0.6</v>
      </c>
      <c r="E24" s="258"/>
      <c r="F24" s="264"/>
      <c r="G24" s="217"/>
      <c r="H24" s="212"/>
      <c r="I24" s="50" t="s">
        <v>197</v>
      </c>
      <c r="J24" s="51">
        <f>Parameters!$B$1*K24</f>
        <v>24.95</v>
      </c>
      <c r="K24" s="52">
        <v>1</v>
      </c>
      <c r="L24" s="52"/>
      <c r="M24" s="53"/>
      <c r="N24" s="217"/>
      <c r="O24" s="8"/>
      <c r="P24" s="251"/>
      <c r="Q24" s="96"/>
      <c r="R24" s="96"/>
      <c r="S24" s="96"/>
      <c r="T24" s="96"/>
      <c r="U24" s="8"/>
      <c r="V24" s="8"/>
    </row>
    <row r="25" spans="1:22" ht="15.75" customHeight="1">
      <c r="A25" s="212"/>
      <c r="B25" s="256" t="s">
        <v>212</v>
      </c>
      <c r="C25" s="257">
        <v>25</v>
      </c>
      <c r="D25" s="258">
        <f t="shared" si="1"/>
        <v>1</v>
      </c>
      <c r="E25" s="258"/>
      <c r="F25" s="264"/>
      <c r="G25" s="217"/>
      <c r="H25" s="212"/>
      <c r="I25" s="50" t="s">
        <v>213</v>
      </c>
      <c r="J25" s="51">
        <f>Parameters!$B$1*K25</f>
        <v>49.9</v>
      </c>
      <c r="K25" s="52">
        <v>2</v>
      </c>
      <c r="L25" s="52"/>
      <c r="M25" s="53"/>
      <c r="N25" s="217"/>
      <c r="O25" s="8"/>
      <c r="P25" s="8"/>
      <c r="Q25" s="100"/>
      <c r="R25" s="100"/>
      <c r="S25" s="100"/>
      <c r="T25" s="100"/>
      <c r="U25" s="8"/>
      <c r="V25" s="8"/>
    </row>
    <row r="26" spans="1:22" ht="15.75" customHeight="1">
      <c r="A26" s="212"/>
      <c r="B26" s="256" t="s">
        <v>214</v>
      </c>
      <c r="C26" s="257">
        <v>10</v>
      </c>
      <c r="D26" s="258">
        <f t="shared" si="1"/>
        <v>0.4</v>
      </c>
      <c r="E26" s="258"/>
      <c r="F26" s="264"/>
      <c r="G26" s="217"/>
      <c r="H26" s="212"/>
      <c r="I26" s="50" t="s">
        <v>215</v>
      </c>
      <c r="J26" s="51">
        <f>Parameters!$B$1*K26</f>
        <v>37.424999999999997</v>
      </c>
      <c r="K26" s="52">
        <v>1.5</v>
      </c>
      <c r="L26" s="52"/>
      <c r="M26" s="53"/>
      <c r="N26" s="217"/>
      <c r="O26" s="8"/>
      <c r="P26" s="8"/>
      <c r="Q26" s="100"/>
      <c r="R26" s="100"/>
      <c r="S26" s="100"/>
      <c r="T26" s="100"/>
      <c r="U26" s="8"/>
      <c r="V26" s="8"/>
    </row>
    <row r="27" spans="1:22" ht="15.75" customHeight="1">
      <c r="A27" s="212"/>
      <c r="B27" s="256" t="s">
        <v>216</v>
      </c>
      <c r="C27" s="257">
        <v>18</v>
      </c>
      <c r="D27" s="258">
        <f t="shared" si="1"/>
        <v>0.72</v>
      </c>
      <c r="E27" s="258"/>
      <c r="F27" s="264"/>
      <c r="G27" s="217"/>
      <c r="H27" s="212"/>
      <c r="I27" s="43" t="s">
        <v>217</v>
      </c>
      <c r="J27" s="45">
        <f>Parameters!$B$1*K27</f>
        <v>449.09999999999997</v>
      </c>
      <c r="K27" s="45">
        <v>18</v>
      </c>
      <c r="L27" s="74">
        <f>SUM(K23:K30)</f>
        <v>24.5</v>
      </c>
      <c r="M27" s="229"/>
      <c r="N27" s="217"/>
      <c r="O27" s="8"/>
      <c r="P27" s="8"/>
      <c r="Q27" s="100"/>
      <c r="R27" s="100"/>
      <c r="S27" s="100"/>
      <c r="T27" s="100"/>
      <c r="U27" s="8"/>
      <c r="V27" s="8"/>
    </row>
    <row r="28" spans="1:22" ht="15.75" customHeight="1">
      <c r="A28" s="212"/>
      <c r="B28" s="43" t="s">
        <v>218</v>
      </c>
      <c r="C28" s="45">
        <v>86</v>
      </c>
      <c r="D28" s="45">
        <f t="shared" si="1"/>
        <v>3.44</v>
      </c>
      <c r="E28" s="270">
        <f>SUM(D23:D28)</f>
        <v>13.16</v>
      </c>
      <c r="F28" s="264"/>
      <c r="G28" s="217"/>
      <c r="H28" s="212"/>
      <c r="I28" s="86"/>
      <c r="J28" s="87"/>
      <c r="K28" s="88"/>
      <c r="L28" s="89"/>
      <c r="M28" s="271">
        <f>M22+L27</f>
        <v>37</v>
      </c>
      <c r="N28" s="217"/>
      <c r="O28" s="8"/>
      <c r="P28" s="8"/>
      <c r="Q28" s="100"/>
      <c r="R28" s="100"/>
      <c r="S28" s="100"/>
      <c r="T28" s="100"/>
      <c r="U28" s="8"/>
      <c r="V28" s="8"/>
    </row>
    <row r="29" spans="1:22" ht="15.75" customHeight="1">
      <c r="A29" s="212"/>
      <c r="B29" s="272"/>
      <c r="C29" s="273"/>
      <c r="D29" s="274"/>
      <c r="E29" s="274"/>
      <c r="F29" s="275">
        <f>F22+E28</f>
        <v>51.44</v>
      </c>
      <c r="G29" s="222" t="s">
        <v>219</v>
      </c>
      <c r="H29" s="8"/>
      <c r="I29" s="251"/>
      <c r="J29" s="96"/>
      <c r="K29" s="251"/>
      <c r="L29" s="251"/>
      <c r="M29" s="251"/>
      <c r="N29" s="8"/>
      <c r="O29" s="8"/>
      <c r="P29" s="8"/>
      <c r="Q29" s="100"/>
      <c r="R29" s="100"/>
      <c r="S29" s="100"/>
      <c r="T29" s="100"/>
      <c r="U29" s="8"/>
      <c r="V29" s="8"/>
    </row>
    <row r="30" spans="1:22" ht="15.75" customHeight="1">
      <c r="A30" s="8"/>
      <c r="B30" s="251"/>
      <c r="C30" s="96"/>
      <c r="D30" s="96"/>
      <c r="E30" s="96"/>
      <c r="F30" s="96"/>
      <c r="G30" s="8"/>
      <c r="H30" s="8"/>
      <c r="I30" s="8"/>
      <c r="J30" s="100"/>
      <c r="K30" s="8"/>
      <c r="L30" s="8"/>
      <c r="M30" s="8"/>
      <c r="N30" s="8"/>
      <c r="O30" s="8"/>
      <c r="P30" s="8"/>
      <c r="Q30" s="100"/>
      <c r="R30" s="100"/>
      <c r="S30" s="100"/>
      <c r="T30" s="100"/>
      <c r="U30" s="8"/>
      <c r="V30" s="8"/>
    </row>
    <row r="31" spans="1:22" ht="15.75" customHeight="1">
      <c r="A31" s="8"/>
      <c r="B31" s="8"/>
      <c r="C31" s="100"/>
      <c r="D31" s="100"/>
      <c r="E31" s="100"/>
      <c r="F31" s="100"/>
      <c r="G31" s="8"/>
      <c r="H31" s="8"/>
      <c r="I31" s="8"/>
      <c r="J31" s="100"/>
      <c r="K31" s="8"/>
      <c r="L31" s="8"/>
      <c r="M31" s="212"/>
      <c r="N31" s="222" t="s">
        <v>220</v>
      </c>
      <c r="O31" s="8"/>
      <c r="P31" s="8"/>
      <c r="Q31" s="100"/>
      <c r="R31" s="100"/>
      <c r="S31" s="100"/>
      <c r="T31" s="100"/>
      <c r="U31" s="8"/>
      <c r="V31" s="8"/>
    </row>
    <row r="32" spans="1:22" ht="15.75" customHeight="1">
      <c r="A32" s="8"/>
      <c r="B32" s="8"/>
      <c r="C32" s="100"/>
      <c r="D32" s="100"/>
      <c r="E32" s="100"/>
      <c r="F32" s="100"/>
      <c r="G32" s="8"/>
      <c r="H32" s="8"/>
      <c r="I32" s="8"/>
      <c r="J32" s="100"/>
      <c r="K32" s="8"/>
      <c r="L32" s="8"/>
      <c r="M32" s="8"/>
      <c r="N32" s="8"/>
      <c r="O32" s="8"/>
      <c r="P32" s="8"/>
      <c r="Q32" s="100"/>
      <c r="R32" s="100"/>
      <c r="S32" s="100"/>
      <c r="T32" s="100"/>
      <c r="U32" s="8"/>
      <c r="V32" s="8"/>
    </row>
    <row r="33" spans="1:22" ht="33" customHeight="1">
      <c r="A33" s="8"/>
      <c r="B33" s="8"/>
      <c r="C33" s="100"/>
      <c r="D33" s="100"/>
      <c r="E33" s="100"/>
      <c r="F33" s="100"/>
      <c r="G33" s="8"/>
      <c r="H33" s="8"/>
      <c r="I33" s="223" t="s">
        <v>221</v>
      </c>
      <c r="J33" s="211"/>
      <c r="K33" s="276"/>
      <c r="L33" s="276"/>
      <c r="M33" s="276"/>
      <c r="N33" s="8"/>
      <c r="O33" s="8"/>
      <c r="P33" s="8"/>
      <c r="Q33" s="100"/>
      <c r="R33" s="100"/>
      <c r="S33" s="100"/>
      <c r="T33" s="100"/>
      <c r="U33" s="8"/>
      <c r="V33" s="8"/>
    </row>
    <row r="34" spans="1:22" ht="15.75" customHeight="1">
      <c r="A34" s="8"/>
      <c r="B34" s="8"/>
      <c r="C34" s="100"/>
      <c r="D34" s="100"/>
      <c r="E34" s="100"/>
      <c r="F34" s="100"/>
      <c r="G34" s="8"/>
      <c r="H34" s="212"/>
      <c r="I34" s="277"/>
      <c r="J34" s="278" t="s">
        <v>18</v>
      </c>
      <c r="K34" s="279" t="s">
        <v>19</v>
      </c>
      <c r="L34" s="280" t="s">
        <v>20</v>
      </c>
      <c r="M34" s="281" t="s">
        <v>21</v>
      </c>
      <c r="N34" s="217"/>
      <c r="O34" s="8"/>
      <c r="P34" s="8"/>
      <c r="Q34" s="100"/>
      <c r="R34" s="100"/>
      <c r="S34" s="100"/>
      <c r="T34" s="100"/>
      <c r="U34" s="8"/>
      <c r="V34" s="8"/>
    </row>
    <row r="35" spans="1:22" ht="15" customHeight="1">
      <c r="A35" s="8"/>
      <c r="B35" s="8"/>
      <c r="C35" s="100"/>
      <c r="D35" s="100"/>
      <c r="E35" s="100"/>
      <c r="F35" s="100"/>
      <c r="G35" s="8"/>
      <c r="H35" s="212"/>
      <c r="I35" s="282" t="s">
        <v>222</v>
      </c>
      <c r="J35" s="283"/>
      <c r="K35" s="284"/>
      <c r="L35" s="285"/>
      <c r="M35" s="286">
        <f>M28</f>
        <v>37</v>
      </c>
      <c r="N35" s="217"/>
      <c r="O35" s="8"/>
      <c r="P35" s="8"/>
      <c r="Q35" s="100"/>
      <c r="R35" s="100"/>
      <c r="S35" s="100"/>
      <c r="T35" s="100"/>
      <c r="U35" s="8"/>
      <c r="V35" s="8"/>
    </row>
    <row r="36" spans="1:22" ht="15" customHeight="1">
      <c r="A36" s="8"/>
      <c r="B36" s="8"/>
      <c r="C36" s="100"/>
      <c r="D36" s="100"/>
      <c r="E36" s="100"/>
      <c r="F36" s="100"/>
      <c r="G36" s="8"/>
      <c r="H36" s="212"/>
      <c r="I36" s="287" t="s">
        <v>223</v>
      </c>
      <c r="J36" s="288">
        <f>Parameters!$B$1*K36</f>
        <v>49.9</v>
      </c>
      <c r="K36" s="289">
        <v>2</v>
      </c>
      <c r="L36" s="290"/>
      <c r="M36" s="291"/>
      <c r="N36" s="217"/>
      <c r="O36" s="8"/>
      <c r="P36" s="8"/>
      <c r="Q36" s="100"/>
      <c r="R36" s="100"/>
      <c r="S36" s="100"/>
      <c r="T36" s="100"/>
      <c r="U36" s="8"/>
      <c r="V36" s="8"/>
    </row>
    <row r="37" spans="1:22" ht="15" customHeight="1">
      <c r="A37" s="8"/>
      <c r="B37" s="8"/>
      <c r="C37" s="100"/>
      <c r="D37" s="100"/>
      <c r="E37" s="100"/>
      <c r="F37" s="100"/>
      <c r="G37" s="8"/>
      <c r="H37" s="212"/>
      <c r="I37" s="287" t="s">
        <v>224</v>
      </c>
      <c r="J37" s="288">
        <f>Parameters!$B$1*K37</f>
        <v>49.9</v>
      </c>
      <c r="K37" s="292">
        <v>2</v>
      </c>
      <c r="L37" s="293">
        <v>4</v>
      </c>
      <c r="M37" s="294">
        <f>M35+L37</f>
        <v>41</v>
      </c>
      <c r="N37" s="217"/>
      <c r="O37" s="8"/>
      <c r="P37" s="8"/>
      <c r="Q37" s="100"/>
      <c r="R37" s="100"/>
      <c r="S37" s="100"/>
      <c r="T37" s="100"/>
      <c r="U37" s="8"/>
      <c r="V37" s="8"/>
    </row>
    <row r="38" spans="1:22" ht="18" customHeight="1">
      <c r="A38" s="8"/>
      <c r="B38" s="8"/>
      <c r="C38" s="100"/>
      <c r="D38" s="100"/>
      <c r="E38" s="100"/>
      <c r="F38" s="100"/>
      <c r="G38" s="8"/>
      <c r="H38" s="212"/>
      <c r="I38" s="287" t="s">
        <v>225</v>
      </c>
      <c r="J38" s="288"/>
      <c r="K38" s="295"/>
      <c r="L38" s="296"/>
      <c r="M38" s="291">
        <f>T23</f>
        <v>41.979959919839679</v>
      </c>
      <c r="N38" s="217"/>
      <c r="O38" s="8"/>
      <c r="P38" s="8"/>
      <c r="Q38" s="100"/>
      <c r="R38" s="100"/>
      <c r="S38" s="100"/>
      <c r="T38" s="100"/>
      <c r="U38" s="8"/>
      <c r="V38" s="8"/>
    </row>
    <row r="39" spans="1:22" ht="15" customHeight="1">
      <c r="A39" s="8"/>
      <c r="B39" s="8"/>
      <c r="C39" s="100"/>
      <c r="D39" s="100"/>
      <c r="E39" s="100"/>
      <c r="F39" s="100"/>
      <c r="G39" s="8"/>
      <c r="H39" s="212"/>
      <c r="I39" s="287" t="s">
        <v>226</v>
      </c>
      <c r="J39" s="288">
        <f>Parameters!$B$1*K39</f>
        <v>62.375</v>
      </c>
      <c r="K39" s="296">
        <v>2.5</v>
      </c>
      <c r="L39" s="296"/>
      <c r="M39" s="297"/>
      <c r="N39" s="217"/>
      <c r="O39" s="8"/>
      <c r="P39" s="8"/>
      <c r="Q39" s="100"/>
      <c r="R39" s="100"/>
      <c r="S39" s="100"/>
      <c r="T39" s="100"/>
      <c r="U39" s="8"/>
      <c r="V39" s="8"/>
    </row>
    <row r="40" spans="1:22" ht="15" customHeight="1">
      <c r="A40" s="8"/>
      <c r="B40" s="8"/>
      <c r="C40" s="100"/>
      <c r="D40" s="100"/>
      <c r="E40" s="100"/>
      <c r="F40" s="100"/>
      <c r="G40" s="8"/>
      <c r="H40" s="212"/>
      <c r="I40" s="287" t="s">
        <v>227</v>
      </c>
      <c r="J40" s="288">
        <f>Parameters!$B$1*K40</f>
        <v>24.95</v>
      </c>
      <c r="K40" s="296">
        <v>1</v>
      </c>
      <c r="L40" s="296"/>
      <c r="M40" s="297"/>
      <c r="N40" s="217"/>
      <c r="O40" s="8"/>
      <c r="P40" s="8"/>
      <c r="Q40" s="100"/>
      <c r="R40" s="100"/>
      <c r="S40" s="100"/>
      <c r="T40" s="100"/>
      <c r="U40" s="8"/>
      <c r="V40" s="8"/>
    </row>
    <row r="41" spans="1:22" ht="15" customHeight="1">
      <c r="A41" s="8"/>
      <c r="B41" s="8"/>
      <c r="C41" s="100"/>
      <c r="D41" s="100"/>
      <c r="E41" s="100"/>
      <c r="F41" s="100"/>
      <c r="G41" s="8"/>
      <c r="H41" s="212"/>
      <c r="I41" s="287" t="s">
        <v>228</v>
      </c>
      <c r="J41" s="288">
        <f>Parameters!$B$1*K41</f>
        <v>24.95</v>
      </c>
      <c r="K41" s="292">
        <v>1</v>
      </c>
      <c r="L41" s="290">
        <v>4.5</v>
      </c>
      <c r="M41" s="297"/>
      <c r="N41" s="217"/>
      <c r="O41" s="8"/>
      <c r="P41" s="8"/>
      <c r="Q41" s="100"/>
      <c r="R41" s="100"/>
      <c r="S41" s="100"/>
      <c r="T41" s="100"/>
      <c r="U41" s="8"/>
      <c r="V41" s="8"/>
    </row>
    <row r="42" spans="1:22" ht="15" customHeight="1">
      <c r="A42" s="8"/>
      <c r="B42" s="8"/>
      <c r="C42" s="100"/>
      <c r="D42" s="100"/>
      <c r="E42" s="100"/>
      <c r="F42" s="100"/>
      <c r="G42" s="8"/>
      <c r="H42" s="212"/>
      <c r="I42" s="287" t="s">
        <v>229</v>
      </c>
      <c r="J42" s="288">
        <f>Parameters!$B$1*K42</f>
        <v>49.9</v>
      </c>
      <c r="K42" s="295">
        <v>2</v>
      </c>
      <c r="L42" s="296"/>
      <c r="M42" s="297"/>
      <c r="N42" s="217"/>
      <c r="O42" s="8"/>
      <c r="P42" s="8"/>
      <c r="Q42" s="100"/>
      <c r="R42" s="100"/>
      <c r="S42" s="100"/>
      <c r="T42" s="100"/>
      <c r="U42" s="8"/>
      <c r="V42" s="8"/>
    </row>
    <row r="43" spans="1:22" ht="15" customHeight="1">
      <c r="A43" s="8"/>
      <c r="B43" s="8"/>
      <c r="C43" s="100"/>
      <c r="D43" s="100"/>
      <c r="E43" s="100"/>
      <c r="F43" s="100"/>
      <c r="G43" s="8"/>
      <c r="H43" s="212"/>
      <c r="I43" s="287" t="s">
        <v>230</v>
      </c>
      <c r="J43" s="288">
        <f>Parameters!$B$1*K43</f>
        <v>24.95</v>
      </c>
      <c r="K43" s="296">
        <v>1</v>
      </c>
      <c r="L43" s="296"/>
      <c r="M43" s="298"/>
      <c r="N43" s="217"/>
      <c r="O43" s="8"/>
      <c r="P43" s="8"/>
      <c r="Q43" s="100"/>
      <c r="R43" s="100"/>
      <c r="S43" s="100"/>
      <c r="T43" s="100"/>
      <c r="U43" s="8"/>
      <c r="V43" s="8"/>
    </row>
    <row r="44" spans="1:22" ht="15" customHeight="1">
      <c r="A44" s="8"/>
      <c r="B44" s="8"/>
      <c r="C44" s="100"/>
      <c r="D44" s="100"/>
      <c r="E44" s="100"/>
      <c r="F44" s="100"/>
      <c r="G44" s="8"/>
      <c r="H44" s="212"/>
      <c r="I44" s="287" t="s">
        <v>231</v>
      </c>
      <c r="J44" s="288">
        <f>Parameters!$B$1*K44</f>
        <v>49.9</v>
      </c>
      <c r="K44" s="296">
        <v>2</v>
      </c>
      <c r="L44" s="296"/>
      <c r="M44" s="298"/>
      <c r="N44" s="217"/>
      <c r="O44" s="8"/>
      <c r="P44" s="8"/>
      <c r="Q44" s="100"/>
      <c r="R44" s="100"/>
      <c r="S44" s="100"/>
      <c r="T44" s="100"/>
      <c r="U44" s="8"/>
      <c r="V44" s="8"/>
    </row>
    <row r="45" spans="1:22" ht="15" customHeight="1">
      <c r="A45" s="8"/>
      <c r="B45" s="8"/>
      <c r="C45" s="100"/>
      <c r="D45" s="100"/>
      <c r="E45" s="100"/>
      <c r="F45" s="100"/>
      <c r="G45" s="8"/>
      <c r="H45" s="212"/>
      <c r="I45" s="43" t="s">
        <v>232</v>
      </c>
      <c r="J45" s="45">
        <f>Parameters!$B$1*K45</f>
        <v>24.95</v>
      </c>
      <c r="K45" s="45">
        <v>1</v>
      </c>
      <c r="L45" s="299">
        <f>SUM(K42:K45)</f>
        <v>6</v>
      </c>
      <c r="M45" s="298"/>
      <c r="N45" s="217"/>
      <c r="O45" s="8"/>
      <c r="P45" s="8"/>
      <c r="Q45" s="100"/>
      <c r="R45" s="100"/>
      <c r="S45" s="100"/>
      <c r="T45" s="100"/>
      <c r="U45" s="8"/>
      <c r="V45" s="8"/>
    </row>
    <row r="46" spans="1:22" ht="15" customHeight="1">
      <c r="A46" s="8"/>
      <c r="B46" s="8"/>
      <c r="C46" s="100"/>
      <c r="D46" s="100"/>
      <c r="E46" s="100"/>
      <c r="F46" s="100"/>
      <c r="G46" s="8"/>
      <c r="H46" s="212"/>
      <c r="I46" s="300"/>
      <c r="J46" s="288"/>
      <c r="K46" s="296"/>
      <c r="L46" s="301">
        <f>SUM(L37,L41,L45)</f>
        <v>14.5</v>
      </c>
      <c r="M46" s="298"/>
      <c r="N46" s="217"/>
      <c r="O46" s="8"/>
      <c r="P46" s="8"/>
      <c r="Q46" s="100"/>
      <c r="R46" s="100"/>
      <c r="S46" s="100"/>
      <c r="T46" s="100"/>
      <c r="U46" s="8"/>
      <c r="V46" s="8"/>
    </row>
    <row r="47" spans="1:22" ht="15.75" customHeight="1">
      <c r="A47" s="8"/>
      <c r="B47" s="8"/>
      <c r="C47" s="100"/>
      <c r="D47" s="100"/>
      <c r="E47" s="100"/>
      <c r="F47" s="100"/>
      <c r="G47" s="8"/>
      <c r="H47" s="212"/>
      <c r="I47" s="302"/>
      <c r="J47" s="303"/>
      <c r="K47" s="304"/>
      <c r="L47" s="305"/>
      <c r="M47" s="306">
        <f>M38+L41+L45</f>
        <v>52.479959919839679</v>
      </c>
      <c r="N47" s="222" t="s">
        <v>233</v>
      </c>
      <c r="O47" s="8"/>
      <c r="P47" s="8"/>
      <c r="Q47" s="100"/>
      <c r="R47" s="100"/>
      <c r="S47" s="100"/>
      <c r="T47" s="100"/>
      <c r="U47" s="8"/>
      <c r="V47" s="8"/>
    </row>
    <row r="48" spans="1:22" ht="15" customHeight="1">
      <c r="A48" s="8"/>
      <c r="B48" s="8"/>
      <c r="C48" s="100"/>
      <c r="D48" s="100"/>
      <c r="E48" s="100"/>
      <c r="F48" s="100"/>
      <c r="G48" s="8"/>
      <c r="H48" s="8"/>
      <c r="I48" s="251"/>
      <c r="J48" s="96"/>
      <c r="K48" s="251"/>
      <c r="L48" s="251"/>
      <c r="M48" s="251"/>
      <c r="N48" s="8"/>
      <c r="O48" s="8"/>
      <c r="P48" s="8"/>
      <c r="Q48" s="100"/>
      <c r="R48" s="100"/>
      <c r="S48" s="100"/>
      <c r="T48" s="100"/>
      <c r="U48" s="8"/>
      <c r="V48" s="8"/>
    </row>
    <row r="49" spans="1:22" ht="24" customHeight="1">
      <c r="A49" s="8"/>
      <c r="B49" s="8"/>
      <c r="C49" s="100"/>
      <c r="D49" s="100"/>
      <c r="E49" s="100"/>
      <c r="F49" s="100"/>
      <c r="G49" s="8"/>
      <c r="H49" s="8"/>
      <c r="I49" s="210" t="s">
        <v>234</v>
      </c>
      <c r="J49" s="307"/>
      <c r="K49" s="276"/>
      <c r="L49" s="276"/>
      <c r="M49" s="276"/>
      <c r="N49" s="8"/>
      <c r="O49" s="8"/>
      <c r="P49" s="8"/>
      <c r="Q49" s="100"/>
      <c r="R49" s="100"/>
      <c r="S49" s="100"/>
      <c r="T49" s="100"/>
      <c r="U49" s="8"/>
      <c r="V49" s="8"/>
    </row>
    <row r="50" spans="1:22" ht="15.75" customHeight="1">
      <c r="A50" s="8"/>
      <c r="B50" s="8"/>
      <c r="C50" s="100"/>
      <c r="D50" s="100"/>
      <c r="E50" s="100"/>
      <c r="F50" s="100"/>
      <c r="G50" s="8"/>
      <c r="H50" s="212"/>
      <c r="I50" s="308"/>
      <c r="J50" s="278" t="s">
        <v>18</v>
      </c>
      <c r="K50" s="279" t="s">
        <v>19</v>
      </c>
      <c r="L50" s="309" t="s">
        <v>20</v>
      </c>
      <c r="M50" s="310" t="s">
        <v>21</v>
      </c>
      <c r="N50" s="217"/>
      <c r="O50" s="8"/>
      <c r="P50" s="8"/>
      <c r="Q50" s="100"/>
      <c r="R50" s="100"/>
      <c r="S50" s="100"/>
      <c r="T50" s="100"/>
      <c r="U50" s="8"/>
      <c r="V50" s="8"/>
    </row>
    <row r="51" spans="1:22" ht="15" customHeight="1">
      <c r="A51" s="8"/>
      <c r="B51" s="8"/>
      <c r="C51" s="100"/>
      <c r="D51" s="100"/>
      <c r="E51" s="100"/>
      <c r="F51" s="100"/>
      <c r="G51" s="8"/>
      <c r="H51" s="212"/>
      <c r="I51" s="311" t="s">
        <v>235</v>
      </c>
      <c r="J51" s="312"/>
      <c r="K51" s="313"/>
      <c r="L51" s="313"/>
      <c r="M51" s="314">
        <f>M47</f>
        <v>52.479959919839679</v>
      </c>
      <c r="N51" s="217"/>
      <c r="O51" s="8"/>
      <c r="P51" s="8"/>
      <c r="Q51" s="100"/>
      <c r="R51" s="100"/>
      <c r="S51" s="100"/>
      <c r="T51" s="100"/>
      <c r="U51" s="8"/>
      <c r="V51" s="8"/>
    </row>
    <row r="52" spans="1:22" ht="15" customHeight="1">
      <c r="A52" s="8"/>
      <c r="B52" s="8"/>
      <c r="C52" s="100"/>
      <c r="D52" s="100"/>
      <c r="E52" s="100"/>
      <c r="F52" s="100"/>
      <c r="G52" s="8"/>
      <c r="H52" s="212"/>
      <c r="I52" s="315" t="s">
        <v>236</v>
      </c>
      <c r="J52" s="316">
        <f>Parameters!$B$1*K52</f>
        <v>149.69999999999999</v>
      </c>
      <c r="K52" s="317">
        <v>6</v>
      </c>
      <c r="L52" s="317"/>
      <c r="M52" s="318"/>
      <c r="N52" s="222" t="s">
        <v>104</v>
      </c>
      <c r="O52" s="8"/>
      <c r="P52" s="8"/>
      <c r="Q52" s="100"/>
      <c r="R52" s="100"/>
      <c r="S52" s="100"/>
      <c r="T52" s="100"/>
      <c r="U52" s="8"/>
      <c r="V52" s="8"/>
    </row>
    <row r="53" spans="1:22" ht="15" customHeight="1">
      <c r="A53" s="8"/>
      <c r="B53" s="8"/>
      <c r="C53" s="100"/>
      <c r="D53" s="100"/>
      <c r="E53" s="100"/>
      <c r="F53" s="100"/>
      <c r="G53" s="8"/>
      <c r="H53" s="212"/>
      <c r="I53" s="315" t="s">
        <v>237</v>
      </c>
      <c r="J53" s="316">
        <f>Parameters!$B$1*K53</f>
        <v>74.849999999999994</v>
      </c>
      <c r="K53" s="317">
        <v>3</v>
      </c>
      <c r="L53" s="317"/>
      <c r="M53" s="318"/>
      <c r="N53" s="222" t="s">
        <v>104</v>
      </c>
      <c r="O53" s="8"/>
      <c r="P53" s="8"/>
      <c r="Q53" s="100"/>
      <c r="R53" s="100"/>
      <c r="S53" s="100"/>
      <c r="T53" s="100"/>
      <c r="U53" s="8"/>
      <c r="V53" s="8"/>
    </row>
    <row r="54" spans="1:22" ht="15" customHeight="1">
      <c r="A54" s="8"/>
      <c r="B54" s="8"/>
      <c r="C54" s="100"/>
      <c r="D54" s="100"/>
      <c r="E54" s="100"/>
      <c r="F54" s="100"/>
      <c r="G54" s="8"/>
      <c r="H54" s="212"/>
      <c r="I54" s="43" t="s">
        <v>238</v>
      </c>
      <c r="J54" s="45">
        <f>Parameters!$B$1*K54</f>
        <v>9.98</v>
      </c>
      <c r="K54" s="45">
        <f>5*2/25</f>
        <v>0.4</v>
      </c>
      <c r="L54" s="317">
        <f>SUM(K54,K53,K52)</f>
        <v>9.4</v>
      </c>
      <c r="M54" s="319">
        <f>SUM(M51,L54)</f>
        <v>61.879959919839678</v>
      </c>
      <c r="N54" s="222" t="s">
        <v>239</v>
      </c>
      <c r="O54" s="8"/>
      <c r="P54" s="8"/>
      <c r="Q54" s="100"/>
      <c r="R54" s="100"/>
      <c r="S54" s="100"/>
      <c r="T54" s="100"/>
      <c r="U54" s="8"/>
      <c r="V54" s="8"/>
    </row>
    <row r="55" spans="1:22" ht="15" customHeight="1">
      <c r="A55" s="8"/>
      <c r="B55" s="8"/>
      <c r="C55" s="100"/>
      <c r="D55" s="100"/>
      <c r="E55" s="100"/>
      <c r="F55" s="100"/>
      <c r="G55" s="8"/>
      <c r="H55" s="212"/>
      <c r="I55" s="315" t="s">
        <v>240</v>
      </c>
      <c r="J55" s="316">
        <f>Parameters!$B$1*K55</f>
        <v>49.9</v>
      </c>
      <c r="K55" s="317">
        <v>2</v>
      </c>
      <c r="L55" s="317"/>
      <c r="M55" s="318"/>
      <c r="N55" s="222" t="s">
        <v>104</v>
      </c>
      <c r="O55" s="8"/>
      <c r="P55" s="8"/>
      <c r="Q55" s="100"/>
      <c r="R55" s="100"/>
      <c r="S55" s="100"/>
      <c r="T55" s="100"/>
      <c r="U55" s="8"/>
      <c r="V55" s="8"/>
    </row>
    <row r="56" spans="1:22" ht="15" customHeight="1">
      <c r="A56" s="8"/>
      <c r="B56" s="8"/>
      <c r="C56" s="100"/>
      <c r="D56" s="100"/>
      <c r="E56" s="100"/>
      <c r="F56" s="100"/>
      <c r="G56" s="8"/>
      <c r="H56" s="212"/>
      <c r="I56" s="43" t="s">
        <v>241</v>
      </c>
      <c r="J56" s="320">
        <f>Parameters!$B$1*K56</f>
        <v>9.98</v>
      </c>
      <c r="K56" s="321">
        <v>0.4</v>
      </c>
      <c r="L56" s="317">
        <f>SUM(K52+K55+K56)</f>
        <v>8.4</v>
      </c>
      <c r="M56" s="319">
        <f>SUM(M51,L56)</f>
        <v>60.879959919839678</v>
      </c>
      <c r="N56" s="222" t="s">
        <v>242</v>
      </c>
      <c r="O56" s="8"/>
      <c r="P56" s="8"/>
      <c r="Q56" s="100"/>
      <c r="R56" s="100"/>
      <c r="S56" s="100"/>
      <c r="T56" s="100"/>
      <c r="U56" s="8"/>
      <c r="V56" s="8"/>
    </row>
    <row r="57" spans="1:22" ht="15" customHeight="1">
      <c r="A57" s="8"/>
      <c r="B57" s="8"/>
      <c r="C57" s="100"/>
      <c r="D57" s="100"/>
      <c r="E57" s="100"/>
      <c r="F57" s="100"/>
      <c r="G57" s="8"/>
      <c r="H57" s="212"/>
      <c r="I57" s="322" t="s">
        <v>243</v>
      </c>
      <c r="J57" s="323">
        <f>Parameters!$B$1*K57</f>
        <v>199.6</v>
      </c>
      <c r="K57" s="324">
        <v>8</v>
      </c>
      <c r="L57" s="325"/>
      <c r="M57" s="326"/>
      <c r="N57" s="222" t="s">
        <v>104</v>
      </c>
      <c r="O57" s="8"/>
      <c r="P57" s="8"/>
      <c r="Q57" s="100"/>
      <c r="R57" s="100"/>
      <c r="S57" s="100"/>
      <c r="T57" s="100"/>
      <c r="U57" s="8"/>
      <c r="V57" s="8"/>
    </row>
    <row r="58" spans="1:22" ht="15" customHeight="1">
      <c r="A58" s="8"/>
      <c r="B58" s="8"/>
      <c r="C58" s="100"/>
      <c r="D58" s="100"/>
      <c r="E58" s="100"/>
      <c r="F58" s="100"/>
      <c r="G58" s="8"/>
      <c r="H58" s="212"/>
      <c r="I58" s="327" t="s">
        <v>244</v>
      </c>
      <c r="J58" s="328">
        <f>Parameters!$B$1*K58</f>
        <v>49.9</v>
      </c>
      <c r="K58" s="329">
        <v>2</v>
      </c>
      <c r="L58" s="330"/>
      <c r="M58" s="326"/>
      <c r="N58" s="222" t="s">
        <v>104</v>
      </c>
      <c r="O58" s="8"/>
      <c r="P58" s="8"/>
      <c r="Q58" s="100"/>
      <c r="R58" s="100"/>
      <c r="S58" s="100"/>
      <c r="T58" s="100"/>
      <c r="U58" s="8"/>
      <c r="V58" s="8"/>
    </row>
    <row r="59" spans="1:22" ht="15" customHeight="1">
      <c r="A59" s="8"/>
      <c r="B59" s="8"/>
      <c r="C59" s="100"/>
      <c r="D59" s="100"/>
      <c r="E59" s="100"/>
      <c r="F59" s="100"/>
      <c r="G59" s="8"/>
      <c r="H59" s="212"/>
      <c r="I59" s="91" t="s">
        <v>245</v>
      </c>
      <c r="J59" s="92">
        <f>Parameters!$B$1*K59</f>
        <v>9.98</v>
      </c>
      <c r="K59" s="92">
        <v>0.4</v>
      </c>
      <c r="L59" s="331">
        <f>SUM(K57,K58,K59)</f>
        <v>10.4</v>
      </c>
      <c r="M59" s="332">
        <f>SUM(M51,L59)</f>
        <v>62.879959919839678</v>
      </c>
      <c r="N59" s="222" t="s">
        <v>246</v>
      </c>
      <c r="O59" s="8"/>
      <c r="P59" s="8"/>
      <c r="Q59" s="100"/>
      <c r="R59" s="100"/>
      <c r="S59" s="100"/>
      <c r="T59" s="100"/>
      <c r="U59" s="8"/>
      <c r="V59" s="8"/>
    </row>
    <row r="60" spans="1:22" ht="15" customHeight="1">
      <c r="A60" s="8"/>
      <c r="B60" s="8"/>
      <c r="C60" s="100"/>
      <c r="D60" s="100"/>
      <c r="E60" s="100"/>
      <c r="F60" s="100"/>
      <c r="G60" s="8"/>
      <c r="H60" s="8"/>
      <c r="I60" s="251"/>
      <c r="J60" s="96"/>
      <c r="K60" s="251"/>
      <c r="L60" s="251"/>
      <c r="M60" s="251"/>
      <c r="N60" s="8"/>
      <c r="O60" s="8"/>
      <c r="P60" s="8"/>
      <c r="Q60" s="100"/>
      <c r="R60" s="100"/>
      <c r="S60" s="100"/>
      <c r="T60" s="100"/>
      <c r="U60" s="8"/>
      <c r="V60" s="8"/>
    </row>
    <row r="61" spans="1:22" ht="15.75" customHeight="1">
      <c r="A61" s="8"/>
      <c r="B61" s="8"/>
      <c r="C61" s="100"/>
      <c r="D61" s="100"/>
      <c r="E61" s="100"/>
      <c r="F61" s="100"/>
      <c r="G61" s="8"/>
      <c r="H61" s="8"/>
      <c r="I61" s="8"/>
      <c r="J61" s="100"/>
      <c r="K61" s="8"/>
      <c r="L61" s="8"/>
      <c r="M61" s="8"/>
      <c r="N61" s="8"/>
      <c r="O61" s="8"/>
      <c r="P61" s="8"/>
      <c r="Q61" s="100"/>
      <c r="R61" s="100"/>
      <c r="S61" s="100"/>
      <c r="T61" s="100"/>
      <c r="U61" s="8"/>
      <c r="V61" s="8"/>
    </row>
  </sheetData>
  <pageMargins left="0.70866099999999999" right="0.70866099999999999" top="0.748031" bottom="0.748031" header="0.31496099999999999" footer="0.31496099999999999"/>
  <pageSetup orientation="landscape"/>
  <headerFooter>
    <oddHeader>&amp;L&amp;"Calibri,Regular"&amp;11&amp;K000000https://edms.cern.ch/document/1256858/1 &amp;C&amp;"Calibri,Regular"&amp;11&amp;K000000Working_Draft_Latency_Envelope_5Nov18.xlsx&amp;R&amp;"Calibri,Regular"&amp;11&amp;K000000L1Muon_Phase_I</oddHeader>
    <oddFooter>&amp;C&amp;"Helvetica Neue,Regular"&amp;12&amp;K000000&amp;P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9"/>
  <sheetViews>
    <sheetView showGridLines="0" topLeftCell="A4" zoomScaleNormal="100" workbookViewId="0">
      <selection activeCell="T26" sqref="T26"/>
    </sheetView>
  </sheetViews>
  <sheetFormatPr baseColWidth="10" defaultColWidth="8.85546875" defaultRowHeight="15" customHeight="1"/>
  <cols>
    <col min="1" max="1" width="50.7109375" style="333" customWidth="1"/>
    <col min="2" max="2" width="14.85546875" style="333" customWidth="1"/>
    <col min="3" max="4" width="9.140625" style="333" customWidth="1"/>
    <col min="5" max="5" width="11.85546875" style="333" customWidth="1"/>
    <col min="6" max="6" width="19.7109375" style="333" customWidth="1"/>
    <col min="7" max="7" width="7.140625" style="333" customWidth="1"/>
    <col min="8" max="8" width="6.85546875" style="333" customWidth="1"/>
    <col min="9" max="9" width="12.7109375" style="333" customWidth="1"/>
    <col min="10" max="10" width="14.42578125" style="333" customWidth="1"/>
    <col min="11" max="11" width="16.140625" style="333" customWidth="1"/>
    <col min="12" max="13" width="8.85546875" style="333" customWidth="1"/>
    <col min="14" max="16384" width="8.85546875" style="333"/>
  </cols>
  <sheetData>
    <row r="1" spans="1:12" s="405" customFormat="1" ht="25.5" customHeight="1">
      <c r="A1" s="403">
        <v>44048</v>
      </c>
      <c r="B1" s="404"/>
      <c r="C1" s="404"/>
      <c r="D1" s="404"/>
      <c r="E1" s="404"/>
      <c r="F1" s="403"/>
      <c r="G1" s="403" t="s">
        <v>344</v>
      </c>
      <c r="H1" s="403"/>
      <c r="I1" s="403"/>
      <c r="J1" s="403"/>
      <c r="K1" s="403"/>
      <c r="L1" s="403"/>
    </row>
    <row r="2" spans="1:12" ht="24" customHeight="1">
      <c r="A2" s="334" t="s">
        <v>248</v>
      </c>
      <c r="B2" s="335"/>
      <c r="C2" s="211"/>
      <c r="D2" s="211"/>
      <c r="E2" s="211"/>
      <c r="F2" s="8"/>
      <c r="G2" s="407"/>
      <c r="H2" s="408"/>
      <c r="I2" s="407"/>
      <c r="J2" s="407"/>
      <c r="K2" s="336"/>
      <c r="L2" s="336"/>
    </row>
    <row r="3" spans="1:12" ht="16.5" customHeight="1">
      <c r="A3" s="213"/>
      <c r="B3" s="214" t="s">
        <v>18</v>
      </c>
      <c r="C3" s="215" t="s">
        <v>19</v>
      </c>
      <c r="D3" s="215" t="s">
        <v>20</v>
      </c>
      <c r="E3" s="216" t="s">
        <v>21</v>
      </c>
      <c r="F3" s="337"/>
      <c r="G3" s="409"/>
      <c r="H3" s="410" t="s">
        <v>343</v>
      </c>
      <c r="I3" s="410"/>
      <c r="J3" s="410"/>
      <c r="K3" s="338"/>
      <c r="L3" s="339"/>
    </row>
    <row r="4" spans="1:12" ht="15.75" customHeight="1">
      <c r="A4" s="340" t="s">
        <v>249</v>
      </c>
      <c r="B4" s="341"/>
      <c r="C4" s="342"/>
      <c r="D4" s="342"/>
      <c r="E4" s="314">
        <f>MAX(L1Calo_Phase_I!L38,L1Calo_Phase_I!L56,L1Calo_Phase_I!L78,L1Muon_Phase_I!M56,L1Calo_Phase_I!F54)</f>
        <v>64.266492985971936</v>
      </c>
      <c r="F4" s="337"/>
      <c r="G4" s="411"/>
      <c r="H4" s="411">
        <v>60.2</v>
      </c>
      <c r="I4" s="408"/>
      <c r="J4" s="408"/>
      <c r="K4" s="343"/>
      <c r="L4" s="343"/>
    </row>
    <row r="5" spans="1:12" ht="15.75" customHeight="1">
      <c r="A5" s="344" t="s">
        <v>250</v>
      </c>
      <c r="B5" s="345">
        <f>Parameters!$B$1*C5</f>
        <v>49.9</v>
      </c>
      <c r="C5" s="346">
        <v>2</v>
      </c>
      <c r="D5" s="346"/>
      <c r="E5" s="347"/>
      <c r="F5" s="222" t="s">
        <v>85</v>
      </c>
      <c r="G5" s="412"/>
      <c r="H5" s="412"/>
      <c r="I5" s="412"/>
      <c r="J5" s="412"/>
      <c r="K5" s="348"/>
      <c r="L5" s="348"/>
    </row>
    <row r="6" spans="1:12" ht="15.75" customHeight="1">
      <c r="A6" s="344" t="s">
        <v>251</v>
      </c>
      <c r="B6" s="345">
        <f>Parameters!$B$1*C6</f>
        <v>24.95</v>
      </c>
      <c r="C6" s="346">
        <v>1</v>
      </c>
      <c r="D6" s="349">
        <f>SUM(C5,C6)</f>
        <v>3</v>
      </c>
      <c r="E6" s="350"/>
      <c r="F6" s="222" t="s">
        <v>104</v>
      </c>
      <c r="G6" s="413"/>
      <c r="H6" s="413"/>
      <c r="I6" s="413"/>
      <c r="J6" s="413"/>
      <c r="K6" s="8"/>
      <c r="L6" s="8"/>
    </row>
    <row r="7" spans="1:12" ht="15.75" customHeight="1">
      <c r="A7" s="351"/>
      <c r="B7" s="345"/>
      <c r="C7" s="345"/>
      <c r="D7" s="345"/>
      <c r="E7" s="350"/>
      <c r="F7" s="217"/>
      <c r="G7" s="413"/>
      <c r="H7" s="413"/>
      <c r="I7" s="413"/>
      <c r="J7" s="413"/>
      <c r="K7" s="8"/>
      <c r="L7" s="8"/>
    </row>
    <row r="8" spans="1:12" ht="15.75" customHeight="1">
      <c r="A8" s="352" t="s">
        <v>252</v>
      </c>
      <c r="B8" s="353">
        <f>Parameters!$B$1*C8</f>
        <v>124.75</v>
      </c>
      <c r="C8" s="353">
        <v>5</v>
      </c>
      <c r="D8" s="353"/>
      <c r="E8" s="354"/>
      <c r="F8" s="222" t="s">
        <v>104</v>
      </c>
      <c r="G8" s="413"/>
      <c r="H8" s="413"/>
      <c r="I8" s="413"/>
      <c r="J8" s="413"/>
      <c r="K8" s="8"/>
      <c r="L8" s="8"/>
    </row>
    <row r="9" spans="1:12" ht="15.75" customHeight="1">
      <c r="A9" s="352" t="s">
        <v>253</v>
      </c>
      <c r="B9" s="353">
        <f>Parameters!$B$1*C9</f>
        <v>24.95</v>
      </c>
      <c r="C9" s="355">
        <v>1</v>
      </c>
      <c r="D9" s="355"/>
      <c r="E9" s="354"/>
      <c r="F9" s="222" t="s">
        <v>85</v>
      </c>
      <c r="G9" s="413"/>
      <c r="H9" s="413"/>
      <c r="I9" s="413"/>
      <c r="J9" s="413"/>
      <c r="K9" s="8"/>
      <c r="L9" s="8"/>
    </row>
    <row r="10" spans="1:12" ht="15.75" customHeight="1">
      <c r="A10" s="356" t="s">
        <v>254</v>
      </c>
      <c r="B10" s="45">
        <f>Parameters!$B$1*C10</f>
        <v>9.98</v>
      </c>
      <c r="C10" s="45">
        <v>0.4</v>
      </c>
      <c r="D10" s="357">
        <f>SUM(C9,C10+C8)</f>
        <v>6.4</v>
      </c>
      <c r="E10" s="354"/>
      <c r="F10" s="222" t="s">
        <v>85</v>
      </c>
      <c r="G10" s="413"/>
      <c r="H10" s="413"/>
      <c r="I10" s="413"/>
      <c r="J10" s="413"/>
      <c r="K10" s="8"/>
      <c r="L10" s="8"/>
    </row>
    <row r="11" spans="1:12" ht="15.75" customHeight="1">
      <c r="A11" s="358" t="s">
        <v>255</v>
      </c>
      <c r="B11" s="353"/>
      <c r="C11" s="359"/>
      <c r="D11" s="359">
        <f>SUM(D6,D10)</f>
        <v>9.4</v>
      </c>
      <c r="E11" s="360">
        <f>SUM(E4,D11)</f>
        <v>73.666492985971942</v>
      </c>
      <c r="F11" s="222" t="s">
        <v>256</v>
      </c>
      <c r="G11" s="413">
        <v>9.4</v>
      </c>
      <c r="H11" s="413">
        <v>69.599999999999994</v>
      </c>
      <c r="I11" s="413"/>
      <c r="J11" s="413"/>
      <c r="K11" s="8"/>
      <c r="L11" s="8"/>
    </row>
    <row r="12" spans="1:12" ht="15.75" customHeight="1">
      <c r="A12" s="361" t="s">
        <v>257</v>
      </c>
      <c r="B12" s="362">
        <f>Parameters!$B$1*C12</f>
        <v>99.8</v>
      </c>
      <c r="C12" s="362">
        <v>4</v>
      </c>
      <c r="D12" s="362"/>
      <c r="E12" s="363"/>
      <c r="F12" s="222" t="s">
        <v>104</v>
      </c>
      <c r="G12" s="413"/>
      <c r="H12" s="413"/>
      <c r="I12" s="413"/>
      <c r="J12" s="413"/>
      <c r="K12" s="8"/>
      <c r="L12" s="8"/>
    </row>
    <row r="13" spans="1:12" ht="15.75" customHeight="1">
      <c r="A13" s="361" t="s">
        <v>258</v>
      </c>
      <c r="B13" s="362">
        <f>Parameters!$B$1*C13</f>
        <v>24.95</v>
      </c>
      <c r="C13" s="364">
        <v>1</v>
      </c>
      <c r="D13" s="364"/>
      <c r="E13" s="363"/>
      <c r="F13" s="222" t="s">
        <v>85</v>
      </c>
      <c r="G13" s="413"/>
      <c r="H13" s="413"/>
      <c r="I13" s="413"/>
      <c r="J13" s="413"/>
      <c r="K13" s="8"/>
      <c r="L13" s="8"/>
    </row>
    <row r="14" spans="1:12" ht="15.75" customHeight="1">
      <c r="A14" s="361" t="s">
        <v>259</v>
      </c>
      <c r="B14" s="362">
        <f>Parameters!$B$1*C14</f>
        <v>49.9</v>
      </c>
      <c r="C14" s="289">
        <v>2</v>
      </c>
      <c r="D14" s="289"/>
      <c r="E14" s="294"/>
      <c r="F14" s="222" t="s">
        <v>85</v>
      </c>
      <c r="G14" s="413"/>
      <c r="H14" s="413"/>
      <c r="I14" s="413"/>
      <c r="J14" s="413"/>
      <c r="K14" s="8"/>
      <c r="L14" s="8"/>
    </row>
    <row r="15" spans="1:12" ht="15.75" customHeight="1">
      <c r="A15" s="356" t="s">
        <v>260</v>
      </c>
      <c r="B15" s="45">
        <f>Parameters!$B$1*C15</f>
        <v>9.98</v>
      </c>
      <c r="C15" s="45">
        <v>0.4</v>
      </c>
      <c r="D15" s="293">
        <f>SUM(C12,C13,C14,C15)</f>
        <v>7.4</v>
      </c>
      <c r="E15" s="294"/>
      <c r="F15" s="222" t="s">
        <v>85</v>
      </c>
      <c r="G15" s="413"/>
      <c r="H15" s="413"/>
      <c r="I15" s="413"/>
      <c r="J15" s="413"/>
      <c r="K15" s="8"/>
      <c r="L15" s="8"/>
    </row>
    <row r="16" spans="1:12" ht="16.5" customHeight="1">
      <c r="A16" s="365" t="s">
        <v>261</v>
      </c>
      <c r="B16" s="366"/>
      <c r="C16" s="367"/>
      <c r="D16" s="368">
        <f>SUM(D6,D15)</f>
        <v>10.4</v>
      </c>
      <c r="E16" s="369">
        <f>E4+D16</f>
        <v>74.666492985971942</v>
      </c>
      <c r="F16" s="222" t="s">
        <v>262</v>
      </c>
      <c r="G16" s="425">
        <v>11.4</v>
      </c>
      <c r="H16" s="413">
        <v>71.599999999999994</v>
      </c>
      <c r="I16" s="413"/>
      <c r="J16" s="413"/>
      <c r="K16" s="8"/>
      <c r="L16" s="8"/>
    </row>
    <row r="17" spans="1:12" ht="15" customHeight="1">
      <c r="A17" s="251"/>
      <c r="B17" s="96"/>
      <c r="C17" s="96"/>
      <c r="D17" s="96"/>
      <c r="E17" s="96"/>
      <c r="F17" s="8"/>
      <c r="G17" s="413"/>
      <c r="H17" s="413"/>
      <c r="I17" s="413"/>
      <c r="J17" s="413"/>
      <c r="K17" s="8"/>
      <c r="L17" s="8"/>
    </row>
    <row r="18" spans="1:12" ht="24" customHeight="1">
      <c r="A18" s="334" t="s">
        <v>263</v>
      </c>
      <c r="B18" s="335"/>
      <c r="C18" s="211"/>
      <c r="D18" s="211"/>
      <c r="E18" s="211"/>
      <c r="F18" s="8"/>
      <c r="G18" s="413"/>
      <c r="H18" s="413"/>
      <c r="I18" s="413"/>
      <c r="J18" s="413"/>
      <c r="K18" s="8"/>
      <c r="L18" s="8"/>
    </row>
    <row r="19" spans="1:12" ht="15.75" customHeight="1">
      <c r="A19" s="213"/>
      <c r="B19" s="214" t="s">
        <v>18</v>
      </c>
      <c r="C19" s="215" t="s">
        <v>19</v>
      </c>
      <c r="D19" s="215" t="s">
        <v>20</v>
      </c>
      <c r="E19" s="216" t="s">
        <v>21</v>
      </c>
      <c r="F19" s="217"/>
      <c r="G19" s="413"/>
      <c r="H19" s="413"/>
      <c r="I19" s="413"/>
      <c r="J19" s="413"/>
      <c r="K19" s="8"/>
      <c r="L19" s="8"/>
    </row>
    <row r="20" spans="1:12" ht="15.75" customHeight="1">
      <c r="A20" s="370" t="s">
        <v>264</v>
      </c>
      <c r="B20" s="371"/>
      <c r="C20" s="372"/>
      <c r="D20" s="372"/>
      <c r="E20" s="373">
        <f>L1Calo_Phase_I!F55</f>
        <v>69.22665330661323</v>
      </c>
      <c r="F20" s="222" t="s">
        <v>265</v>
      </c>
      <c r="G20" s="413"/>
      <c r="H20" s="413"/>
      <c r="I20" s="413"/>
      <c r="J20" s="413"/>
      <c r="K20" s="8"/>
      <c r="L20" s="8"/>
    </row>
    <row r="21" spans="1:12" ht="15.75" customHeight="1">
      <c r="A21" s="358" t="s">
        <v>266</v>
      </c>
      <c r="B21" s="374">
        <f>Parameters!$B$1*C21</f>
        <v>49.9</v>
      </c>
      <c r="C21" s="374">
        <v>2</v>
      </c>
      <c r="D21" s="355"/>
      <c r="E21" s="354"/>
      <c r="F21" s="222" t="s">
        <v>85</v>
      </c>
      <c r="G21" s="413"/>
      <c r="H21" s="413"/>
      <c r="I21" s="413"/>
      <c r="J21" s="413"/>
      <c r="K21" s="8"/>
      <c r="L21" s="8"/>
    </row>
    <row r="22" spans="1:12" ht="15.75" customHeight="1">
      <c r="A22" s="358" t="s">
        <v>267</v>
      </c>
      <c r="B22" s="353"/>
      <c r="C22" s="355"/>
      <c r="D22" s="355">
        <f>SUM(C21:C21)</f>
        <v>2</v>
      </c>
      <c r="E22" s="375">
        <f>E20+D22</f>
        <v>71.22665330661323</v>
      </c>
      <c r="F22" s="222" t="s">
        <v>268</v>
      </c>
      <c r="G22" s="413"/>
      <c r="H22" s="413"/>
      <c r="I22" s="413"/>
      <c r="J22" s="413"/>
      <c r="K22" s="8"/>
      <c r="L22" s="8"/>
    </row>
    <row r="23" spans="1:12" ht="15.75" customHeight="1">
      <c r="A23" s="344" t="s">
        <v>269</v>
      </c>
      <c r="B23" s="345"/>
      <c r="C23" s="346"/>
      <c r="D23" s="346"/>
      <c r="E23" s="376">
        <f>MAX(E16,L1Muon_Phase_I!M59)</f>
        <v>74.666492985971942</v>
      </c>
      <c r="F23" s="222" t="s">
        <v>270</v>
      </c>
      <c r="G23" s="413"/>
      <c r="H23" s="413">
        <v>71.599999999999994</v>
      </c>
      <c r="I23" s="413"/>
      <c r="J23" s="413"/>
      <c r="K23" s="8"/>
      <c r="L23" s="8"/>
    </row>
    <row r="24" spans="1:12" ht="15.75" customHeight="1">
      <c r="A24" s="344" t="s">
        <v>271</v>
      </c>
      <c r="B24" s="345">
        <f>Parameters!$B$1*C24</f>
        <v>74.849999999999994</v>
      </c>
      <c r="C24" s="346">
        <v>3</v>
      </c>
      <c r="D24" s="346"/>
      <c r="E24" s="377"/>
      <c r="F24" s="222" t="s">
        <v>104</v>
      </c>
      <c r="G24" s="413"/>
      <c r="H24" s="413"/>
      <c r="I24" s="413"/>
      <c r="J24" s="413"/>
      <c r="K24" s="8"/>
      <c r="L24" s="8"/>
    </row>
    <row r="25" spans="1:12" ht="15.75" customHeight="1">
      <c r="A25" s="344" t="s">
        <v>272</v>
      </c>
      <c r="B25" s="345"/>
      <c r="C25" s="346"/>
      <c r="D25" s="346">
        <f>SUM(C24:C25)</f>
        <v>3</v>
      </c>
      <c r="E25" s="378">
        <f>SUM(E23,D25)</f>
        <v>77.666492985971942</v>
      </c>
      <c r="F25" s="222" t="s">
        <v>273</v>
      </c>
      <c r="G25" s="413"/>
      <c r="H25" s="408">
        <v>75.599999999999994</v>
      </c>
      <c r="I25" s="407"/>
      <c r="J25" s="407"/>
      <c r="K25" s="336"/>
      <c r="L25" s="8"/>
    </row>
    <row r="26" spans="1:12" ht="15.75" customHeight="1">
      <c r="A26" s="380" t="s">
        <v>274</v>
      </c>
      <c r="B26" s="381"/>
      <c r="C26" s="382"/>
      <c r="D26" s="382"/>
      <c r="E26" s="383">
        <f>MAX(E11,L1Muon_Phase_I!M54)</f>
        <v>73.666492985971942</v>
      </c>
      <c r="F26" s="222" t="s">
        <v>275</v>
      </c>
      <c r="G26" s="414"/>
      <c r="H26" s="409"/>
      <c r="I26" s="410"/>
      <c r="J26" s="410"/>
      <c r="K26" s="384"/>
      <c r="L26" s="385"/>
    </row>
    <row r="27" spans="1:12" ht="15.75" customHeight="1">
      <c r="A27" s="380" t="s">
        <v>276</v>
      </c>
      <c r="B27" s="382">
        <f>Parameters!$B$1*C27</f>
        <v>12.475</v>
      </c>
      <c r="C27" s="382">
        <v>0.5</v>
      </c>
      <c r="D27" s="382"/>
      <c r="E27" s="383"/>
      <c r="F27" s="222" t="s">
        <v>104</v>
      </c>
      <c r="G27" s="414"/>
      <c r="H27" s="411"/>
      <c r="I27" s="408"/>
      <c r="J27" s="408"/>
      <c r="K27" s="343"/>
      <c r="L27" s="8"/>
    </row>
    <row r="28" spans="1:12" ht="15.75" customHeight="1">
      <c r="A28" s="380" t="s">
        <v>277</v>
      </c>
      <c r="B28" s="381"/>
      <c r="C28" s="382"/>
      <c r="D28" s="382">
        <f>C27</f>
        <v>0.5</v>
      </c>
      <c r="E28" s="387">
        <f>E26+D28</f>
        <v>74.166492985971942</v>
      </c>
      <c r="F28" s="222" t="s">
        <v>278</v>
      </c>
      <c r="G28" s="413"/>
      <c r="H28" s="412"/>
      <c r="I28" s="412"/>
      <c r="J28" s="412"/>
      <c r="K28" s="348"/>
      <c r="L28" s="8"/>
    </row>
    <row r="29" spans="1:12" ht="15.75" customHeight="1">
      <c r="A29" s="226" t="s">
        <v>279</v>
      </c>
      <c r="B29" s="262"/>
      <c r="C29" s="228"/>
      <c r="D29" s="228"/>
      <c r="E29" s="229">
        <f>MAX(E28,E25,E22)</f>
        <v>77.666492985971942</v>
      </c>
      <c r="F29" s="217"/>
      <c r="G29" s="413"/>
      <c r="H29" s="413"/>
      <c r="I29" s="413"/>
      <c r="J29" s="413"/>
      <c r="K29" s="8"/>
      <c r="L29" s="8"/>
    </row>
    <row r="30" spans="1:12" ht="15.75" customHeight="1">
      <c r="A30" s="226" t="s">
        <v>280</v>
      </c>
      <c r="B30" s="228">
        <f>Parameters!$B$1*C30</f>
        <v>149.69999999999999</v>
      </c>
      <c r="C30" s="228">
        <v>6</v>
      </c>
      <c r="D30" s="228"/>
      <c r="E30" s="229"/>
      <c r="F30" s="222" t="s">
        <v>104</v>
      </c>
      <c r="G30" s="413"/>
      <c r="H30" s="408"/>
      <c r="I30" s="407"/>
      <c r="J30" s="407"/>
      <c r="K30" s="8"/>
      <c r="L30" s="8"/>
    </row>
    <row r="31" spans="1:12" ht="15.75" customHeight="1">
      <c r="A31" s="265" t="s">
        <v>281</v>
      </c>
      <c r="B31" s="267"/>
      <c r="C31" s="267"/>
      <c r="D31" s="267"/>
      <c r="E31" s="388">
        <f>SUM(E29,C30,C31)</f>
        <v>83.666492985971942</v>
      </c>
      <c r="F31" s="222" t="s">
        <v>282</v>
      </c>
      <c r="G31" s="414"/>
      <c r="H31" s="409"/>
      <c r="I31" s="410"/>
      <c r="J31" s="410"/>
      <c r="K31" s="8"/>
      <c r="L31" s="8"/>
    </row>
    <row r="32" spans="1:12" ht="21.75" customHeight="1">
      <c r="A32" s="251"/>
      <c r="B32" s="96"/>
      <c r="C32" s="96"/>
      <c r="D32" s="96"/>
      <c r="E32" s="96"/>
      <c r="F32" s="8"/>
      <c r="G32" s="415"/>
      <c r="H32" s="416"/>
      <c r="I32" s="417"/>
      <c r="J32" s="417"/>
      <c r="K32" s="8"/>
      <c r="L32" s="8"/>
    </row>
    <row r="33" spans="1:12" ht="15" customHeight="1">
      <c r="A33" s="8"/>
      <c r="B33" s="100"/>
      <c r="C33" s="100"/>
      <c r="D33" s="100"/>
      <c r="E33" s="100"/>
      <c r="F33" s="8"/>
      <c r="G33" s="418"/>
      <c r="H33" s="419"/>
      <c r="I33" s="419"/>
      <c r="J33" s="419"/>
      <c r="K33" s="8"/>
      <c r="L33" s="8"/>
    </row>
    <row r="34" spans="1:12" ht="24" customHeight="1">
      <c r="A34" s="334" t="s">
        <v>283</v>
      </c>
      <c r="B34" s="335"/>
      <c r="C34" s="211"/>
      <c r="D34" s="211"/>
      <c r="E34" s="211"/>
      <c r="F34" s="8"/>
      <c r="G34" s="8"/>
      <c r="H34" s="379"/>
      <c r="I34" s="336"/>
      <c r="J34" s="336"/>
      <c r="K34" s="336"/>
      <c r="L34" s="8"/>
    </row>
    <row r="35" spans="1:12" ht="15.75" customHeight="1">
      <c r="A35" s="213"/>
      <c r="B35" s="214" t="s">
        <v>18</v>
      </c>
      <c r="C35" s="215" t="s">
        <v>19</v>
      </c>
      <c r="D35" s="215" t="s">
        <v>20</v>
      </c>
      <c r="E35" s="216" t="s">
        <v>21</v>
      </c>
      <c r="F35" s="217"/>
      <c r="G35" s="386"/>
      <c r="H35" s="389" t="s">
        <v>284</v>
      </c>
      <c r="I35" s="338" t="s">
        <v>285</v>
      </c>
      <c r="J35" s="338" t="s">
        <v>286</v>
      </c>
      <c r="K35" s="339" t="s">
        <v>287</v>
      </c>
      <c r="L35" s="385"/>
    </row>
    <row r="36" spans="1:12" ht="15.75" customHeight="1">
      <c r="A36" s="340" t="s">
        <v>288</v>
      </c>
      <c r="B36" s="341"/>
      <c r="C36" s="342"/>
      <c r="D36" s="342"/>
      <c r="E36" s="390">
        <f>E31</f>
        <v>83.666492985971942</v>
      </c>
      <c r="F36" s="217"/>
      <c r="G36" s="386"/>
      <c r="H36" s="391"/>
      <c r="I36" s="343">
        <f>E22</f>
        <v>71.22665330661323</v>
      </c>
      <c r="J36" s="343">
        <f>E28</f>
        <v>74.166492985971942</v>
      </c>
      <c r="K36" s="343">
        <f>E25</f>
        <v>77.666492985971942</v>
      </c>
      <c r="L36" s="8"/>
    </row>
    <row r="37" spans="1:12" ht="15.75" customHeight="1">
      <c r="A37" s="43" t="s">
        <v>289</v>
      </c>
      <c r="B37" s="45">
        <f>Parameters!$B$1*C37</f>
        <v>70.85799999999999</v>
      </c>
      <c r="C37" s="45">
        <v>2.84</v>
      </c>
      <c r="D37" s="346"/>
      <c r="E37" s="347"/>
      <c r="F37" s="222" t="s">
        <v>85</v>
      </c>
      <c r="G37" s="8"/>
      <c r="H37" s="348"/>
      <c r="I37" s="348"/>
      <c r="J37" s="348"/>
      <c r="K37" s="348"/>
      <c r="L37" s="8"/>
    </row>
    <row r="38" spans="1:12" ht="15.75" customHeight="1">
      <c r="A38" s="344" t="s">
        <v>290</v>
      </c>
      <c r="B38" s="345">
        <f>84</f>
        <v>84</v>
      </c>
      <c r="C38" s="346">
        <f>B38/Parameters!B1</f>
        <v>3.366733466933868</v>
      </c>
      <c r="D38" s="346">
        <f>SUM(C37,C38)</f>
        <v>6.2067334669338674</v>
      </c>
      <c r="E38" s="392">
        <f>SUM(D38,E36)</f>
        <v>89.873226452905811</v>
      </c>
      <c r="F38" s="222" t="s">
        <v>85</v>
      </c>
      <c r="G38" s="8"/>
      <c r="H38" s="8"/>
      <c r="I38" s="8"/>
      <c r="J38" s="8"/>
      <c r="K38" s="8"/>
      <c r="L38" s="8"/>
    </row>
    <row r="39" spans="1:12" ht="23.25" customHeight="1">
      <c r="A39" s="344" t="s">
        <v>291</v>
      </c>
      <c r="B39" s="345">
        <v>84</v>
      </c>
      <c r="C39" s="346">
        <f>B39/Parameters!B1</f>
        <v>3.366733466933868</v>
      </c>
      <c r="D39" s="346"/>
      <c r="E39" s="347"/>
      <c r="F39" s="222" t="s">
        <v>292</v>
      </c>
      <c r="G39" s="8"/>
      <c r="H39" s="8"/>
      <c r="I39" s="8"/>
      <c r="J39" s="8"/>
      <c r="K39" s="8"/>
      <c r="L39" s="8"/>
    </row>
    <row r="40" spans="1:12" ht="16.5" customHeight="1">
      <c r="A40" s="393" t="s">
        <v>293</v>
      </c>
      <c r="B40" s="394">
        <v>109</v>
      </c>
      <c r="C40" s="395">
        <f>B40/Parameters!B1</f>
        <v>4.3687374749499002</v>
      </c>
      <c r="D40" s="394">
        <f>SUM(C37,C40)</f>
        <v>7.2087374749499</v>
      </c>
      <c r="E40" s="396">
        <f>SUM(E36,D40)</f>
        <v>90.875230460921841</v>
      </c>
      <c r="F40" s="222" t="s">
        <v>292</v>
      </c>
      <c r="G40" s="8"/>
      <c r="H40" s="8"/>
      <c r="I40" s="8"/>
      <c r="J40" s="8"/>
      <c r="K40" s="8"/>
      <c r="L40" s="8"/>
    </row>
    <row r="41" spans="1:12" ht="15" customHeight="1">
      <c r="A41" s="251"/>
      <c r="B41" s="96"/>
      <c r="C41" s="96"/>
      <c r="D41" s="96"/>
      <c r="E41" s="96"/>
      <c r="F41" s="8"/>
      <c r="G41" s="8"/>
      <c r="H41" s="8"/>
      <c r="I41" s="8"/>
      <c r="J41" s="8"/>
      <c r="K41" s="8"/>
      <c r="L41" s="8"/>
    </row>
    <row r="42" spans="1:12" ht="15" customHeight="1">
      <c r="A42" s="8"/>
      <c r="B42" s="100"/>
      <c r="C42" s="100"/>
      <c r="D42" s="100"/>
      <c r="E42" s="100"/>
      <c r="F42" s="8"/>
      <c r="G42" s="8"/>
      <c r="H42" s="8"/>
      <c r="I42" s="8"/>
      <c r="J42" s="8"/>
      <c r="K42" s="8"/>
      <c r="L42" s="8"/>
    </row>
    <row r="43" spans="1:12" ht="15" customHeight="1">
      <c r="A43" s="8"/>
      <c r="B43" s="100"/>
      <c r="C43" s="100"/>
      <c r="D43" s="100"/>
      <c r="E43" s="100"/>
      <c r="F43" s="8"/>
      <c r="G43" s="8"/>
      <c r="H43" s="8"/>
      <c r="I43" s="8"/>
      <c r="J43" s="8"/>
      <c r="K43" s="8"/>
      <c r="L43" s="8"/>
    </row>
    <row r="44" spans="1:12" ht="15" customHeight="1">
      <c r="A44" s="8"/>
      <c r="B44" s="100"/>
      <c r="C44" s="100"/>
      <c r="D44" s="100"/>
      <c r="E44" s="100"/>
      <c r="F44" s="8"/>
      <c r="G44" s="8"/>
      <c r="H44" s="8"/>
      <c r="I44" s="8"/>
      <c r="J44" s="8"/>
      <c r="K44" s="8"/>
      <c r="L44" s="8"/>
    </row>
    <row r="45" spans="1:12" ht="15" customHeight="1">
      <c r="A45" s="8"/>
      <c r="B45" s="100"/>
      <c r="C45" s="100"/>
      <c r="D45" s="100"/>
      <c r="E45" s="100"/>
      <c r="F45" s="8"/>
      <c r="G45" s="8"/>
      <c r="H45" s="8"/>
      <c r="I45" s="8"/>
      <c r="J45" s="8"/>
      <c r="K45" s="8"/>
      <c r="L45" s="8"/>
    </row>
    <row r="46" spans="1:12" ht="15" customHeight="1">
      <c r="A46" s="8"/>
      <c r="B46" s="100"/>
      <c r="C46" s="100"/>
      <c r="D46" s="100"/>
      <c r="E46" s="100"/>
      <c r="F46" s="8"/>
      <c r="G46" s="8"/>
      <c r="H46" s="8"/>
      <c r="I46" s="8"/>
      <c r="J46" s="8"/>
      <c r="K46" s="8"/>
      <c r="L46" s="8"/>
    </row>
    <row r="47" spans="1:12" ht="15" customHeight="1">
      <c r="A47" s="8"/>
      <c r="B47" s="100"/>
      <c r="C47" s="100"/>
      <c r="D47" s="100"/>
      <c r="E47" s="100"/>
      <c r="F47" s="8"/>
      <c r="G47" s="8"/>
      <c r="H47" s="8"/>
      <c r="I47" s="8"/>
      <c r="J47" s="8"/>
      <c r="K47" s="8"/>
      <c r="L47" s="8"/>
    </row>
    <row r="48" spans="1:12" ht="15" customHeight="1">
      <c r="A48" s="8"/>
      <c r="B48" s="100"/>
      <c r="C48" s="100"/>
      <c r="D48" s="100"/>
      <c r="E48" s="100"/>
      <c r="F48" s="8"/>
      <c r="G48" s="8"/>
      <c r="H48" s="8"/>
      <c r="I48" s="8"/>
      <c r="J48" s="8"/>
      <c r="K48" s="8"/>
      <c r="L48" s="8"/>
    </row>
    <row r="49" spans="1:12" ht="15" customHeight="1">
      <c r="A49" s="8"/>
      <c r="B49" s="100"/>
      <c r="C49" s="100"/>
      <c r="D49" s="100"/>
      <c r="E49" s="100"/>
      <c r="F49" s="8"/>
      <c r="G49" s="8"/>
      <c r="H49" s="8"/>
      <c r="I49" s="8"/>
      <c r="J49" s="8"/>
      <c r="K49" s="8"/>
      <c r="L49" s="8"/>
    </row>
  </sheetData>
  <phoneticPr fontId="35" type="noConversion"/>
  <pageMargins left="0.70866099999999999" right="0.70866099999999999" top="0.748031" bottom="0.748031" header="0.31496099999999999" footer="0.31496099999999999"/>
  <pageSetup orientation="landscape" r:id="rId1"/>
  <headerFooter>
    <oddHeader>&amp;L&amp;"Calibri,Regular"&amp;11&amp;K000000https://edms.cern.ch/document/1256858/1 &amp;C&amp;"Calibri,Regular"&amp;11&amp;K000000Working_Draft_Latency_Envelope_5Nov18.xlsx&amp;R&amp;"Calibri,Regular"&amp;11&amp;K000000L1Topo_and_CTP_Phase_I</oddHeader>
    <oddFooter>&amp;C&amp;"Helvetica Neue,Regular"&amp;12&amp;K000000&amp;P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showGridLines="0" workbookViewId="0"/>
  </sheetViews>
  <sheetFormatPr baseColWidth="10" defaultColWidth="8.85546875" defaultRowHeight="15" customHeight="1"/>
  <cols>
    <col min="1" max="1" width="9.28515625" style="397" customWidth="1"/>
    <col min="2" max="2" width="29.7109375" style="397" customWidth="1"/>
    <col min="3" max="3" width="41.5703125" style="397" customWidth="1"/>
    <col min="4" max="4" width="64.85546875" style="397" customWidth="1"/>
    <col min="5" max="6" width="12.42578125" style="397" customWidth="1"/>
    <col min="7" max="7" width="24.7109375" style="397" customWidth="1"/>
    <col min="8" max="8" width="8.85546875" style="397" customWidth="1"/>
    <col min="9" max="16384" width="8.85546875" style="397"/>
  </cols>
  <sheetData>
    <row r="1" spans="1:7" ht="13.5" customHeight="1">
      <c r="A1" s="398" t="s">
        <v>295</v>
      </c>
      <c r="B1" s="398" t="s">
        <v>296</v>
      </c>
      <c r="C1" s="398" t="s">
        <v>297</v>
      </c>
      <c r="D1" s="398" t="s">
        <v>298</v>
      </c>
      <c r="E1" s="398" t="s">
        <v>299</v>
      </c>
      <c r="F1" s="398" t="s">
        <v>300</v>
      </c>
      <c r="G1" s="398" t="s">
        <v>301</v>
      </c>
    </row>
    <row r="2" spans="1:7" ht="13.5" customHeight="1">
      <c r="A2" s="399">
        <v>0</v>
      </c>
      <c r="B2" s="398" t="s">
        <v>302</v>
      </c>
      <c r="C2" s="398" t="s">
        <v>303</v>
      </c>
      <c r="D2" s="100"/>
      <c r="E2" s="100"/>
      <c r="F2" s="100"/>
      <c r="G2" s="100"/>
    </row>
    <row r="3" spans="1:7" ht="13.5" customHeight="1">
      <c r="A3" s="399">
        <v>1</v>
      </c>
      <c r="B3" s="398" t="s">
        <v>304</v>
      </c>
      <c r="C3" s="398" t="s">
        <v>305</v>
      </c>
      <c r="D3" s="100"/>
      <c r="E3" s="100"/>
      <c r="F3" s="100"/>
      <c r="G3" s="100"/>
    </row>
    <row r="4" spans="1:7" ht="13.5" customHeight="1">
      <c r="A4" s="100"/>
      <c r="B4" s="100"/>
      <c r="C4" s="100"/>
      <c r="D4" s="100"/>
      <c r="E4" s="100"/>
      <c r="F4" s="100"/>
      <c r="G4" s="100"/>
    </row>
    <row r="5" spans="1:7" ht="13.5" customHeight="1">
      <c r="A5" s="399">
        <v>2</v>
      </c>
      <c r="B5" s="398" t="s">
        <v>306</v>
      </c>
      <c r="C5" s="398" t="s">
        <v>307</v>
      </c>
      <c r="D5" s="100"/>
      <c r="E5" s="100"/>
      <c r="F5" s="100"/>
      <c r="G5" s="100"/>
    </row>
    <row r="6" spans="1:7" ht="13.5" customHeight="1">
      <c r="A6" s="100"/>
      <c r="B6" s="398" t="s">
        <v>308</v>
      </c>
      <c r="C6" s="398" t="s">
        <v>309</v>
      </c>
      <c r="D6" s="400"/>
      <c r="E6" s="100"/>
      <c r="F6" s="100"/>
      <c r="G6" s="100"/>
    </row>
    <row r="7" spans="1:7" ht="13.5" customHeight="1">
      <c r="A7" s="100"/>
      <c r="B7" s="398" t="s">
        <v>310</v>
      </c>
      <c r="C7" s="398" t="s">
        <v>311</v>
      </c>
      <c r="D7" s="100"/>
      <c r="E7" s="100"/>
      <c r="F7" s="100"/>
      <c r="G7" s="100"/>
    </row>
    <row r="8" spans="1:7" ht="13.5" customHeight="1">
      <c r="A8" s="100"/>
      <c r="B8" s="398" t="s">
        <v>312</v>
      </c>
      <c r="C8" s="398" t="s">
        <v>313</v>
      </c>
      <c r="D8" s="100"/>
      <c r="E8" s="100"/>
      <c r="F8" s="100"/>
      <c r="G8" s="100"/>
    </row>
    <row r="9" spans="1:7" ht="13.5" customHeight="1">
      <c r="A9" s="100"/>
      <c r="B9" s="100"/>
      <c r="C9" s="100"/>
      <c r="D9" s="100"/>
      <c r="E9" s="100"/>
      <c r="F9" s="100"/>
      <c r="G9" s="100"/>
    </row>
    <row r="10" spans="1:7" ht="13.5" customHeight="1">
      <c r="A10" s="399">
        <v>3</v>
      </c>
      <c r="B10" s="398" t="s">
        <v>314</v>
      </c>
      <c r="C10" s="398" t="s">
        <v>305</v>
      </c>
      <c r="D10" s="100"/>
      <c r="E10" s="100"/>
      <c r="F10" s="100"/>
      <c r="G10" s="100"/>
    </row>
    <row r="11" spans="1:7" ht="13.5" customHeight="1">
      <c r="A11" s="100"/>
      <c r="B11" s="100"/>
      <c r="C11" s="100"/>
      <c r="D11" s="100"/>
      <c r="E11" s="100"/>
      <c r="F11" s="100"/>
      <c r="G11" s="100"/>
    </row>
    <row r="12" spans="1:7" ht="13.5" customHeight="1">
      <c r="A12" s="399">
        <v>4</v>
      </c>
      <c r="B12" s="398" t="s">
        <v>315</v>
      </c>
      <c r="C12" s="398" t="s">
        <v>316</v>
      </c>
      <c r="D12" s="398" t="s">
        <v>317</v>
      </c>
      <c r="E12" s="399">
        <v>14</v>
      </c>
      <c r="F12" s="399">
        <v>16.399999999999999</v>
      </c>
      <c r="G12" s="399">
        <v>0.7</v>
      </c>
    </row>
    <row r="13" spans="1:7" ht="13.5" customHeight="1">
      <c r="A13" s="100"/>
      <c r="B13" s="100"/>
      <c r="C13" s="100"/>
      <c r="D13" s="100"/>
      <c r="E13" s="100"/>
      <c r="F13" s="100"/>
      <c r="G13" s="100"/>
    </row>
    <row r="14" spans="1:7" ht="13.5" customHeight="1">
      <c r="A14" s="398" t="s">
        <v>318</v>
      </c>
      <c r="B14" s="398" t="s">
        <v>319</v>
      </c>
      <c r="C14" s="398" t="s">
        <v>320</v>
      </c>
      <c r="D14" s="100"/>
      <c r="E14" s="100"/>
      <c r="F14" s="100"/>
      <c r="G14" s="100"/>
    </row>
    <row r="15" spans="1:7" ht="13.5" customHeight="1">
      <c r="A15" s="100"/>
      <c r="B15" s="100"/>
      <c r="C15" s="100"/>
      <c r="D15" s="100"/>
      <c r="E15" s="100"/>
      <c r="F15" s="100"/>
      <c r="G15" s="100"/>
    </row>
    <row r="16" spans="1:7" ht="13.5" customHeight="1">
      <c r="A16" s="399">
        <v>5</v>
      </c>
      <c r="B16" s="398" t="s">
        <v>321</v>
      </c>
      <c r="C16" s="398" t="s">
        <v>322</v>
      </c>
      <c r="D16" s="401"/>
      <c r="E16" s="402"/>
      <c r="F16" s="402"/>
      <c r="G16" s="100"/>
    </row>
    <row r="17" spans="1:7" ht="13.5" customHeight="1">
      <c r="A17" s="100"/>
      <c r="B17" s="100"/>
      <c r="C17" s="100"/>
      <c r="D17" s="100"/>
      <c r="E17" s="100"/>
      <c r="F17" s="100"/>
      <c r="G17" s="100"/>
    </row>
    <row r="18" spans="1:7" ht="13.5" customHeight="1">
      <c r="A18" s="399">
        <v>6</v>
      </c>
      <c r="B18" s="398" t="s">
        <v>323</v>
      </c>
      <c r="C18" s="398" t="s">
        <v>313</v>
      </c>
      <c r="D18" s="100"/>
      <c r="E18" s="402"/>
      <c r="F18" s="402"/>
      <c r="G18" s="100"/>
    </row>
    <row r="19" spans="1:7" ht="13.5" customHeight="1">
      <c r="A19" s="100"/>
      <c r="B19" s="100"/>
      <c r="C19" s="100"/>
      <c r="D19" s="100"/>
      <c r="E19" s="100"/>
      <c r="F19" s="100"/>
      <c r="G19" s="100"/>
    </row>
    <row r="20" spans="1:7" ht="13.5" customHeight="1">
      <c r="A20" s="399">
        <v>8</v>
      </c>
      <c r="B20" s="398" t="s">
        <v>324</v>
      </c>
      <c r="C20" s="398" t="s">
        <v>325</v>
      </c>
      <c r="D20" s="398" t="s">
        <v>326</v>
      </c>
      <c r="E20" s="402">
        <v>14.4</v>
      </c>
      <c r="F20" s="402">
        <v>15.2</v>
      </c>
      <c r="G20" s="399">
        <v>0</v>
      </c>
    </row>
    <row r="21" spans="1:7" ht="13.5" customHeight="1">
      <c r="A21" s="100"/>
      <c r="B21" s="100"/>
      <c r="C21" s="100"/>
      <c r="D21" s="100"/>
      <c r="E21" s="100"/>
      <c r="F21" s="100"/>
      <c r="G21" s="100"/>
    </row>
    <row r="22" spans="1:7" ht="13.5" customHeight="1">
      <c r="A22" s="399">
        <v>9</v>
      </c>
      <c r="B22" s="398" t="s">
        <v>327</v>
      </c>
      <c r="C22" s="398" t="s">
        <v>328</v>
      </c>
      <c r="D22" s="100"/>
      <c r="E22" s="100"/>
      <c r="F22" s="100"/>
      <c r="G22" s="100"/>
    </row>
    <row r="23" spans="1:7" ht="13.5" customHeight="1">
      <c r="A23" s="100"/>
      <c r="B23" s="100"/>
      <c r="C23" s="100"/>
      <c r="D23" s="100"/>
      <c r="E23" s="100"/>
      <c r="F23" s="100"/>
      <c r="G23" s="100"/>
    </row>
    <row r="24" spans="1:7" ht="13.5" customHeight="1">
      <c r="A24" s="399">
        <v>10</v>
      </c>
      <c r="B24" s="398" t="s">
        <v>329</v>
      </c>
      <c r="C24" s="398" t="s">
        <v>330</v>
      </c>
      <c r="D24" s="100"/>
      <c r="E24" s="100"/>
      <c r="F24" s="100"/>
      <c r="G24" s="100"/>
    </row>
    <row r="25" spans="1:7" ht="13.5" customHeight="1">
      <c r="A25" s="100"/>
      <c r="B25" s="100"/>
      <c r="C25" s="100"/>
      <c r="D25" s="100"/>
      <c r="E25" s="100"/>
      <c r="F25" s="100"/>
      <c r="G25" s="100"/>
    </row>
    <row r="26" spans="1:7" ht="13.5" customHeight="1">
      <c r="A26" s="399">
        <v>12</v>
      </c>
      <c r="B26" s="398" t="s">
        <v>331</v>
      </c>
      <c r="C26" s="398" t="s">
        <v>332</v>
      </c>
      <c r="D26" s="398" t="s">
        <v>333</v>
      </c>
      <c r="E26" s="398" t="s">
        <v>334</v>
      </c>
      <c r="F26" s="398" t="s">
        <v>335</v>
      </c>
      <c r="G26" s="399">
        <v>0</v>
      </c>
    </row>
    <row r="27" spans="1:7" ht="13.5" customHeight="1">
      <c r="A27" s="100"/>
      <c r="B27" s="100"/>
      <c r="C27" s="100"/>
      <c r="D27" s="100"/>
      <c r="E27" s="100"/>
      <c r="F27" s="100"/>
      <c r="G27" s="100"/>
    </row>
    <row r="28" spans="1:7" ht="13.5" customHeight="1">
      <c r="A28" s="399">
        <v>13</v>
      </c>
      <c r="B28" s="398" t="s">
        <v>336</v>
      </c>
      <c r="C28" s="398" t="s">
        <v>337</v>
      </c>
      <c r="D28" s="100"/>
      <c r="E28" s="402"/>
      <c r="F28" s="402"/>
      <c r="G28" s="100"/>
    </row>
    <row r="29" spans="1:7" ht="13.5" customHeight="1">
      <c r="A29" s="100"/>
      <c r="B29" s="100"/>
      <c r="C29" s="100"/>
      <c r="D29" s="100"/>
      <c r="E29" s="100"/>
      <c r="F29" s="100"/>
      <c r="G29" s="100"/>
    </row>
    <row r="30" spans="1:7" ht="13.5" customHeight="1">
      <c r="A30" s="399">
        <v>14</v>
      </c>
      <c r="B30" s="398" t="s">
        <v>338</v>
      </c>
      <c r="C30" s="398" t="s">
        <v>313</v>
      </c>
      <c r="D30" s="398" t="s">
        <v>339</v>
      </c>
      <c r="E30" s="402">
        <v>6.4</v>
      </c>
      <c r="F30" s="402">
        <v>10.4</v>
      </c>
      <c r="G30" s="399">
        <v>3.5</v>
      </c>
    </row>
    <row r="31" spans="1:7" ht="13.5" customHeight="1">
      <c r="A31" s="100"/>
      <c r="B31" s="100"/>
      <c r="C31" s="100"/>
      <c r="D31" s="100"/>
      <c r="E31" s="100"/>
      <c r="F31" s="100"/>
      <c r="G31" s="100"/>
    </row>
    <row r="32" spans="1:7" ht="13.5" customHeight="1">
      <c r="A32" s="399">
        <v>15</v>
      </c>
      <c r="B32" s="398" t="s">
        <v>340</v>
      </c>
      <c r="C32" s="398" t="s">
        <v>332</v>
      </c>
      <c r="D32" s="398" t="s">
        <v>341</v>
      </c>
      <c r="E32" s="100"/>
      <c r="F32" s="100"/>
      <c r="G32" s="399">
        <v>0</v>
      </c>
    </row>
    <row r="33" spans="1:7" ht="13.5" customHeight="1">
      <c r="A33" s="100"/>
      <c r="B33" s="100"/>
      <c r="C33" s="100"/>
      <c r="D33" s="100"/>
      <c r="E33" s="100"/>
      <c r="F33" s="100"/>
      <c r="G33" s="100"/>
    </row>
    <row r="34" spans="1:7" ht="13.5" customHeight="1">
      <c r="A34" s="399">
        <v>16</v>
      </c>
      <c r="B34" s="398" t="s">
        <v>342</v>
      </c>
      <c r="C34" s="398" t="s">
        <v>332</v>
      </c>
      <c r="D34" s="100"/>
      <c r="E34" s="100"/>
      <c r="F34" s="100"/>
      <c r="G34" s="100"/>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Export Summary</vt:lpstr>
      <vt:lpstr>Parameters</vt:lpstr>
      <vt:lpstr>L1Calo_Phase_I</vt:lpstr>
      <vt:lpstr>L1Muon_Phase_I</vt:lpstr>
      <vt:lpstr>L1Topo_and_CTP_Phase_I</vt:lpstr>
      <vt:lpstr>Contacts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Schäfer, Dr. Ulrich</dc:creator>
  <cp:lastModifiedBy>Schäfer, Dr. Ulrich</cp:lastModifiedBy>
  <dcterms:created xsi:type="dcterms:W3CDTF">2020-09-04T11:14:31Z</dcterms:created>
  <dcterms:modified xsi:type="dcterms:W3CDTF">2020-09-04T12:38:56Z</dcterms:modified>
</cp:coreProperties>
</file>